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G:\Meu Drive\COMERCIAL\VIPPIM VIGILÂNCIA\PREGÕES\2024\VIGILÂNCIA\OSWALDO CRUZ\DILIGÊNCIAS\Diligência 03.07.2024\"/>
    </mc:Choice>
  </mc:AlternateContent>
  <xr:revisionPtr revIDLastSave="0" documentId="13_ncr:1_{0797577D-7F19-4CF9-88BF-D73D5F2CE7EA}" xr6:coauthVersionLast="47" xr6:coauthVersionMax="47" xr10:uidLastSave="{00000000-0000-0000-0000-000000000000}"/>
  <bookViews>
    <workbookView xWindow="-120" yWindow="-120" windowWidth="20730" windowHeight="11160" xr2:uid="{A21970FD-947E-4A41-9180-8CD9D1CA6C0A}"/>
  </bookViews>
  <sheets>
    <sheet name="Proposta" sheetId="9" r:id="rId1"/>
    <sheet name="Memória de Cálculo ES" sheetId="10" r:id="rId2"/>
    <sheet name="Resumo" sheetId="2" r:id="rId3"/>
    <sheet name="Vigilante 5x2" sheetId="1" r:id="rId4"/>
    <sheet name="Supervisor 5x2" sheetId="5" r:id="rId5"/>
    <sheet name="Vigilante 12x36 Diurno" sheetId="6" r:id="rId6"/>
    <sheet name="Supervisor 12x36 Noturno" sheetId="7" r:id="rId7"/>
    <sheet name="Vigilante 12x36 Noturno" sheetId="8" r:id="rId8"/>
    <sheet name="Uniforme" sheetId="3" r:id="rId9"/>
    <sheet name="Equipamentos" sheetId="12" r:id="rId10"/>
    <sheet name="Materiais" sheetId="4" r:id="rId11"/>
  </sheets>
  <externalReferences>
    <externalReference r:id="rId12"/>
    <externalReference r:id="rId13"/>
  </externalReferences>
  <definedNames>
    <definedName name="_1Sem_nome" localSheetId="9">#REF!</definedName>
    <definedName name="_1Sem_nome" localSheetId="1">#REF!</definedName>
    <definedName name="_1Sem_nome" localSheetId="0">!#REF!</definedName>
    <definedName name="_1Sem_nome">!#REF!</definedName>
    <definedName name="_P1" localSheetId="9">#REF!</definedName>
    <definedName name="_P1" localSheetId="1">#REF!</definedName>
    <definedName name="_P1" localSheetId="0">!#REF!</definedName>
    <definedName name="_P1">!#REF!</definedName>
    <definedName name="_P2" localSheetId="9">#REF!</definedName>
    <definedName name="_P2" localSheetId="1">#REF!</definedName>
    <definedName name="_P2" localSheetId="0">!#REF!</definedName>
    <definedName name="_P2">!#REF!</definedName>
    <definedName name="_p3" localSheetId="9">#REF!</definedName>
    <definedName name="_p3" localSheetId="1">#REF!</definedName>
    <definedName name="_p3" localSheetId="0">!#REF!</definedName>
    <definedName name="_p3">!#REF!</definedName>
    <definedName name="a" localSheetId="1">!#REF!</definedName>
    <definedName name="a">!#REF!</definedName>
    <definedName name="Area_2">!#REF!</definedName>
    <definedName name="_xlnm.Print_Area" localSheetId="10">Materiais!$A$1:$I$33</definedName>
    <definedName name="_xlnm.Print_Area" localSheetId="1">'Memória de Cálculo ES'!$A$1:$Q$167</definedName>
    <definedName name="_xlnm.Print_Area" localSheetId="0">Proposta!$A$1:$K$54</definedName>
    <definedName name="_xlnm.Print_Area" localSheetId="2">Resumo!$A$27:$I$63</definedName>
    <definedName name="_xlnm.Print_Area" localSheetId="6">'Supervisor 12x36 Noturno'!$B$1:$E$132</definedName>
    <definedName name="_xlnm.Print_Area" localSheetId="4">'Supervisor 5x2'!$B$1:$E$133</definedName>
    <definedName name="_xlnm.Print_Area" localSheetId="8">Uniforme!$A$1:$G$30</definedName>
    <definedName name="_xlnm.Print_Area" localSheetId="5">'Vigilante 12x36 Diurno'!$B$1:$E$132</definedName>
    <definedName name="_xlnm.Print_Area" localSheetId="7">'Vigilante 12x36 Noturno'!$B$1:$E$133</definedName>
    <definedName name="_xlnm.Print_Area" localSheetId="3">'Vigilante 5x2'!$B$1:$E$132</definedName>
    <definedName name="aREA1" localSheetId="1">!#REF!</definedName>
    <definedName name="aREA1">!#REF!</definedName>
    <definedName name="area2" localSheetId="1">!#REF!</definedName>
    <definedName name="area2">!#REF!</definedName>
    <definedName name="Area3" localSheetId="1">!#REF!</definedName>
    <definedName name="Area3">!#REF!</definedName>
    <definedName name="Area4" localSheetId="1">!#REF!</definedName>
    <definedName name="Area4">!#REF!</definedName>
    <definedName name="assisten">!#REF!</definedName>
    <definedName name="AUXILIAR">!#REF!</definedName>
    <definedName name="BuiltIn_Print_Area" localSheetId="9">#REF!</definedName>
    <definedName name="BuiltIn_Print_Area" localSheetId="1">#REF!</definedName>
    <definedName name="BuiltIn_Print_Area" localSheetId="0">!#REF!</definedName>
    <definedName name="BuiltIn_Print_Area">!#REF!</definedName>
    <definedName name="BuiltIn_Print_Area___0" localSheetId="9">#REF!</definedName>
    <definedName name="BuiltIn_Print_Area___0" localSheetId="1">#REF!</definedName>
    <definedName name="BuiltIn_Print_Area___0" localSheetId="0">!#REF!</definedName>
    <definedName name="BuiltIn_Print_Area___0">!#REF!</definedName>
    <definedName name="CHEFE" localSheetId="9">#REF!</definedName>
    <definedName name="CHEFE" localSheetId="1">#REF!</definedName>
    <definedName name="CHEFE" localSheetId="0">!#REF!</definedName>
    <definedName name="CHEFE">!#REF!</definedName>
    <definedName name="Excel_BuiltIn_Print_Area">!#REF!</definedName>
    <definedName name="Excel_BuiltIn_Print_Area_1" localSheetId="9">#REF!</definedName>
    <definedName name="Excel_BuiltIn_Print_Area_1" localSheetId="1">#REF!</definedName>
    <definedName name="Excel_BuiltIn_Print_Area_1" localSheetId="0">!#REF!</definedName>
    <definedName name="Excel_BuiltIn_Print_Area_1">!#REF!</definedName>
    <definedName name="Excel_BuiltIn_Print_Area_2" localSheetId="9">#REF!</definedName>
    <definedName name="Excel_BuiltIn_Print_Area_2" localSheetId="1">#REF!</definedName>
    <definedName name="Excel_BuiltIn_Print_Area_2" localSheetId="0">!#REF!</definedName>
    <definedName name="Excel_BuiltIn_Print_Area_2">!#REF!</definedName>
    <definedName name="Excel_um">!#REF!</definedName>
    <definedName name="luciene" localSheetId="9">#REF!</definedName>
    <definedName name="luciene" localSheetId="1">#REF!</definedName>
    <definedName name="luciene" localSheetId="0">!#REF!</definedName>
    <definedName name="luciene">!#REF!</definedName>
    <definedName name="Pintor">!#REF!</definedName>
    <definedName name="Pintor1">!#REF!</definedName>
    <definedName name="Po" localSheetId="9">#REF!</definedName>
    <definedName name="Po" localSheetId="1">#REF!</definedName>
    <definedName name="Po" localSheetId="0">!#REF!</definedName>
    <definedName name="Po">!#REF!</definedName>
    <definedName name="recepcionista" localSheetId="1">!#REF!</definedName>
    <definedName name="recepcionista">!#REF!</definedName>
    <definedName name="ssss" localSheetId="9">#REF!</definedName>
    <definedName name="ssss" localSheetId="1">#REF!</definedName>
    <definedName name="ssss" localSheetId="0">!#REF!</definedName>
    <definedName name="ssss">!#REF!</definedName>
    <definedName name="sssss" localSheetId="9">#REF!</definedName>
    <definedName name="sssss" localSheetId="1">#REF!</definedName>
    <definedName name="sssss" localSheetId="0">!#REF!</definedName>
    <definedName name="sssss">!#REF!</definedName>
    <definedName name="To" localSheetId="9">#REF!</definedName>
    <definedName name="To" localSheetId="1">#REF!</definedName>
    <definedName name="To" localSheetId="0">!#REF!</definedName>
    <definedName name="To">!#REF!</definedName>
    <definedName name="um" localSheetId="1">!#REF!</definedName>
    <definedName name="um">!#REF!</definedName>
    <definedName name="UN" localSheetId="0">!#REF!</definedName>
    <definedName name="UN">!#REF!</definedName>
    <definedName name="vvvv" localSheetId="9">#REF!</definedName>
    <definedName name="vvvv" localSheetId="1">#REF!</definedName>
    <definedName name="vvvv" localSheetId="0">!#REF!</definedName>
    <definedName name="vvvv">!#REF!</definedName>
  </definedNames>
  <calcPr calcId="191029"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4" i="8" l="1"/>
  <c r="D54" i="7"/>
  <c r="D54" i="6"/>
  <c r="G25" i="9"/>
  <c r="D106" i="5" l="1"/>
  <c r="D107" i="5"/>
  <c r="E133" i="5"/>
  <c r="E133" i="6"/>
  <c r="E133" i="8"/>
  <c r="E51" i="5"/>
  <c r="E52" i="1"/>
  <c r="E51" i="1"/>
  <c r="F24" i="9" l="1"/>
  <c r="F23" i="9"/>
  <c r="G23" i="9" s="1"/>
  <c r="F22" i="9"/>
  <c r="G22" i="9" s="1"/>
  <c r="F21" i="9"/>
  <c r="F20" i="9"/>
  <c r="G10" i="12" l="1"/>
  <c r="G9" i="12"/>
  <c r="G8" i="12"/>
  <c r="G7" i="12"/>
  <c r="G6" i="12"/>
  <c r="C6" i="12"/>
  <c r="H5" i="12"/>
  <c r="E54" i="1" l="1"/>
  <c r="E58" i="1" s="1"/>
  <c r="F20" i="4"/>
  <c r="F19" i="4"/>
  <c r="F18" i="4"/>
  <c r="F17" i="4"/>
  <c r="F16" i="4"/>
  <c r="F15" i="4"/>
  <c r="F14" i="4"/>
  <c r="F13" i="4"/>
  <c r="F12" i="4"/>
  <c r="F11" i="4"/>
  <c r="F10" i="4"/>
  <c r="F9" i="4"/>
  <c r="F8" i="4"/>
  <c r="F7" i="4"/>
  <c r="F6" i="4"/>
  <c r="F21" i="4" l="1"/>
  <c r="F22" i="4" s="1"/>
  <c r="E99" i="6" s="1"/>
  <c r="G5" i="12"/>
  <c r="G11" i="12" s="1"/>
  <c r="G12" i="12" s="1"/>
  <c r="E99" i="1" l="1"/>
  <c r="E99" i="5"/>
  <c r="E99" i="8"/>
  <c r="E99" i="7"/>
  <c r="E100" i="6"/>
  <c r="E100" i="8"/>
  <c r="E100" i="7"/>
  <c r="E26" i="7"/>
  <c r="E25" i="6"/>
  <c r="E51" i="6" s="1"/>
  <c r="E26" i="5"/>
  <c r="E98" i="5"/>
  <c r="D111" i="5"/>
  <c r="D111" i="6" s="1"/>
  <c r="D111" i="7" s="1"/>
  <c r="D111" i="8" s="1"/>
  <c r="D110" i="5"/>
  <c r="D110" i="6" s="1"/>
  <c r="D110" i="7" s="1"/>
  <c r="D110" i="8" s="1"/>
  <c r="D109" i="5"/>
  <c r="D109" i="6" s="1"/>
  <c r="D109" i="7" s="1"/>
  <c r="D109" i="8" s="1"/>
  <c r="D107" i="6"/>
  <c r="D107" i="7" s="1"/>
  <c r="D107" i="8" s="1"/>
  <c r="D106" i="6"/>
  <c r="D73" i="6"/>
  <c r="D73" i="7" s="1"/>
  <c r="D73" i="8" s="1"/>
  <c r="D47" i="6"/>
  <c r="D47" i="7" s="1"/>
  <c r="D47" i="8" s="1"/>
  <c r="D46" i="6"/>
  <c r="D46" i="7" s="1"/>
  <c r="D46" i="8" s="1"/>
  <c r="D44" i="6"/>
  <c r="D44" i="7" s="1"/>
  <c r="D44" i="8" s="1"/>
  <c r="D82" i="5"/>
  <c r="D82" i="6" s="1"/>
  <c r="D82" i="7" s="1"/>
  <c r="D82" i="8" s="1"/>
  <c r="D81" i="5"/>
  <c r="D81" i="6" s="1"/>
  <c r="D81" i="7" s="1"/>
  <c r="D81" i="8" s="1"/>
  <c r="D80" i="5"/>
  <c r="D80" i="6" s="1"/>
  <c r="D80" i="7" s="1"/>
  <c r="D80" i="8" s="1"/>
  <c r="D79" i="5"/>
  <c r="D79" i="6" s="1"/>
  <c r="D79" i="7" s="1"/>
  <c r="D79" i="8" s="1"/>
  <c r="D78" i="5"/>
  <c r="D78" i="6" s="1"/>
  <c r="D78" i="7" s="1"/>
  <c r="D78" i="8" s="1"/>
  <c r="D73" i="5"/>
  <c r="D71" i="5"/>
  <c r="D71" i="6" s="1"/>
  <c r="D71" i="7" s="1"/>
  <c r="D71" i="8" s="1"/>
  <c r="D69" i="5"/>
  <c r="D69" i="6" s="1"/>
  <c r="D69" i="7" s="1"/>
  <c r="D69" i="8" s="1"/>
  <c r="E54" i="5"/>
  <c r="D52" i="5"/>
  <c r="E52" i="5" s="1"/>
  <c r="D51" i="5"/>
  <c r="D51" i="6" s="1"/>
  <c r="D51" i="7" s="1"/>
  <c r="D51" i="8" s="1"/>
  <c r="D47" i="5"/>
  <c r="D46" i="5"/>
  <c r="D45" i="5"/>
  <c r="D45" i="6" s="1"/>
  <c r="D45" i="7" s="1"/>
  <c r="D45" i="8" s="1"/>
  <c r="D44" i="5"/>
  <c r="D43" i="5"/>
  <c r="D43" i="6" s="1"/>
  <c r="D43" i="7" s="1"/>
  <c r="D43" i="8" s="1"/>
  <c r="D42" i="5"/>
  <c r="D42" i="6" s="1"/>
  <c r="D42" i="7" s="1"/>
  <c r="D42" i="8" s="1"/>
  <c r="D41" i="5"/>
  <c r="D41" i="6" s="1"/>
  <c r="D41" i="7" s="1"/>
  <c r="D41" i="8" s="1"/>
  <c r="D40" i="5"/>
  <c r="D40" i="6" s="1"/>
  <c r="D40" i="7" s="1"/>
  <c r="D40" i="8" s="1"/>
  <c r="D36" i="5"/>
  <c r="D36" i="6" s="1"/>
  <c r="D36" i="7" s="1"/>
  <c r="D36" i="8" s="1"/>
  <c r="D35" i="5"/>
  <c r="D35" i="6" s="1"/>
  <c r="D35" i="7" s="1"/>
  <c r="D35" i="8" s="1"/>
  <c r="E58" i="5" l="1"/>
  <c r="E26" i="6"/>
  <c r="E25" i="8"/>
  <c r="E26" i="8" s="1"/>
  <c r="E64" i="5"/>
  <c r="D52" i="6"/>
  <c r="E52" i="6" s="1"/>
  <c r="E51" i="8"/>
  <c r="D106" i="7"/>
  <c r="G23" i="3"/>
  <c r="G22" i="3"/>
  <c r="G21" i="3"/>
  <c r="G20" i="3"/>
  <c r="F26" i="3"/>
  <c r="G26" i="3" s="1"/>
  <c r="F25" i="3"/>
  <c r="G25" i="3" s="1"/>
  <c r="F24" i="3"/>
  <c r="G24" i="3" s="1"/>
  <c r="F23" i="3"/>
  <c r="F22" i="3"/>
  <c r="F21" i="3"/>
  <c r="F20" i="3"/>
  <c r="F19" i="3"/>
  <c r="G19" i="3" s="1"/>
  <c r="G8" i="3"/>
  <c r="F14" i="3"/>
  <c r="G14" i="3" s="1"/>
  <c r="F13" i="3"/>
  <c r="G13" i="3" s="1"/>
  <c r="F12" i="3"/>
  <c r="G12" i="3" s="1"/>
  <c r="F11" i="3"/>
  <c r="G11" i="3" s="1"/>
  <c r="F10" i="3"/>
  <c r="G10" i="3" s="1"/>
  <c r="F9" i="3"/>
  <c r="G9" i="3" s="1"/>
  <c r="F8" i="3"/>
  <c r="F7" i="3"/>
  <c r="G7" i="3" s="1"/>
  <c r="F6" i="3"/>
  <c r="G6" i="3" s="1"/>
  <c r="K146" i="10"/>
  <c r="M146" i="10" s="1"/>
  <c r="K145" i="10"/>
  <c r="M145" i="10" s="1"/>
  <c r="K144" i="10"/>
  <c r="M144" i="10" s="1"/>
  <c r="K143" i="10"/>
  <c r="M143" i="10" s="1"/>
  <c r="K142" i="10"/>
  <c r="M142" i="10" s="1"/>
  <c r="K141" i="10"/>
  <c r="M141" i="10" s="1"/>
  <c r="K140" i="10"/>
  <c r="M140" i="10" s="1"/>
  <c r="K139" i="10"/>
  <c r="M139" i="10" s="1"/>
  <c r="K138" i="10"/>
  <c r="M138" i="10" s="1"/>
  <c r="K137" i="10"/>
  <c r="K147" i="10" s="1"/>
  <c r="J126" i="10"/>
  <c r="M126" i="10" s="1"/>
  <c r="J125" i="10"/>
  <c r="M125" i="10" s="1"/>
  <c r="J124" i="10"/>
  <c r="M124" i="10" s="1"/>
  <c r="J123" i="10"/>
  <c r="M123" i="10" s="1"/>
  <c r="J122" i="10"/>
  <c r="M122" i="10" s="1"/>
  <c r="J121" i="10"/>
  <c r="M121" i="10" s="1"/>
  <c r="J120" i="10"/>
  <c r="M120" i="10" s="1"/>
  <c r="J119" i="10"/>
  <c r="M119" i="10" s="1"/>
  <c r="E107" i="10"/>
  <c r="R95" i="10"/>
  <c r="E92" i="10"/>
  <c r="E91" i="10"/>
  <c r="G71" i="10"/>
  <c r="L71" i="10" s="1"/>
  <c r="G70" i="10"/>
  <c r="L70" i="10" s="1"/>
  <c r="L62" i="10"/>
  <c r="H60" i="10"/>
  <c r="L60" i="10" s="1"/>
  <c r="G60" i="10"/>
  <c r="H59" i="10"/>
  <c r="L59" i="10" s="1"/>
  <c r="G59" i="10"/>
  <c r="L54" i="10"/>
  <c r="H52" i="10"/>
  <c r="L52" i="10" s="1"/>
  <c r="H51" i="10"/>
  <c r="L51" i="10" s="1"/>
  <c r="E44" i="10"/>
  <c r="E43" i="10"/>
  <c r="E42" i="10"/>
  <c r="E41" i="10"/>
  <c r="E40" i="10"/>
  <c r="E39" i="10"/>
  <c r="E38" i="10"/>
  <c r="E37" i="10"/>
  <c r="E45" i="10" s="1"/>
  <c r="R3" i="10"/>
  <c r="D72" i="1"/>
  <c r="D72" i="5" s="1"/>
  <c r="D72" i="6" s="1"/>
  <c r="D72" i="7" s="1"/>
  <c r="D72" i="8" s="1"/>
  <c r="D70" i="1"/>
  <c r="D70" i="5" s="1"/>
  <c r="D70" i="6" s="1"/>
  <c r="D70" i="7" s="1"/>
  <c r="D70" i="8" s="1"/>
  <c r="D52" i="7" l="1"/>
  <c r="F15" i="3"/>
  <c r="G15" i="3"/>
  <c r="E54" i="6"/>
  <c r="E58" i="6" s="1"/>
  <c r="D106" i="8"/>
  <c r="L61" i="10"/>
  <c r="L63" i="10" s="1"/>
  <c r="L53" i="10"/>
  <c r="L55" i="10" s="1"/>
  <c r="G27" i="3"/>
  <c r="E94" i="10"/>
  <c r="E96" i="10" s="1"/>
  <c r="E33" i="10"/>
  <c r="E34" i="10" s="1"/>
  <c r="M127" i="10"/>
  <c r="J127" i="10"/>
  <c r="M137" i="10"/>
  <c r="M147" i="10" s="1"/>
  <c r="M148" i="10" s="1"/>
  <c r="E52" i="7" l="1"/>
  <c r="D52" i="8"/>
  <c r="E52" i="8" s="1"/>
  <c r="E98" i="6"/>
  <c r="E98" i="8"/>
  <c r="E98" i="1"/>
  <c r="E102" i="1" s="1"/>
  <c r="E129" i="1" s="1"/>
  <c r="E54" i="7"/>
  <c r="E54" i="8"/>
  <c r="E26" i="1"/>
  <c r="E31" i="1" s="1"/>
  <c r="E58" i="7" l="1"/>
  <c r="E58" i="8"/>
  <c r="F25" i="9"/>
  <c r="G24" i="9"/>
  <c r="D74" i="5"/>
  <c r="E98" i="7" l="1"/>
  <c r="G34" i="2"/>
  <c r="D34" i="2"/>
  <c r="D114" i="8"/>
  <c r="D112" i="8"/>
  <c r="E93" i="8"/>
  <c r="D48" i="8"/>
  <c r="D37" i="8"/>
  <c r="D114" i="7"/>
  <c r="D112" i="7"/>
  <c r="E93" i="7"/>
  <c r="D84" i="7"/>
  <c r="D48" i="7"/>
  <c r="D37" i="7"/>
  <c r="D84" i="8" l="1"/>
  <c r="E64" i="7"/>
  <c r="D74" i="8"/>
  <c r="E64" i="8"/>
  <c r="E28" i="8"/>
  <c r="E31" i="8" s="1"/>
  <c r="D74" i="7"/>
  <c r="E70" i="8" l="1"/>
  <c r="E73" i="8"/>
  <c r="E69" i="8"/>
  <c r="E71" i="8"/>
  <c r="E72" i="8"/>
  <c r="E28" i="7"/>
  <c r="E31" i="7" s="1"/>
  <c r="E83" i="8"/>
  <c r="E125" i="8"/>
  <c r="E36" i="8"/>
  <c r="E35" i="8"/>
  <c r="E37" i="8" l="1"/>
  <c r="E40" i="8" s="1"/>
  <c r="E70" i="7"/>
  <c r="E125" i="7"/>
  <c r="E36" i="7"/>
  <c r="E83" i="7"/>
  <c r="E69" i="7"/>
  <c r="E72" i="7"/>
  <c r="E73" i="7"/>
  <c r="E35" i="7"/>
  <c r="E71" i="7"/>
  <c r="E74" i="8"/>
  <c r="E127" i="8" s="1"/>
  <c r="E37" i="7" l="1"/>
  <c r="E44" i="7" s="1"/>
  <c r="E74" i="7"/>
  <c r="E127" i="7" s="1"/>
  <c r="E62" i="8"/>
  <c r="E44" i="8"/>
  <c r="E41" i="8"/>
  <c r="E42" i="8"/>
  <c r="E47" i="8"/>
  <c r="E46" i="8"/>
  <c r="E43" i="8"/>
  <c r="E45" i="8"/>
  <c r="E46" i="7" l="1"/>
  <c r="E47" i="7"/>
  <c r="E45" i="7"/>
  <c r="E42" i="7"/>
  <c r="E40" i="7"/>
  <c r="E62" i="7"/>
  <c r="E41" i="7"/>
  <c r="E43" i="7"/>
  <c r="E48" i="8"/>
  <c r="E63" i="8" s="1"/>
  <c r="E65" i="8" s="1"/>
  <c r="E48" i="7" l="1"/>
  <c r="E63" i="7" s="1"/>
  <c r="E65" i="7" s="1"/>
  <c r="E126" i="7" s="1"/>
  <c r="E126" i="8"/>
  <c r="E82" i="7" l="1"/>
  <c r="E79" i="7"/>
  <c r="E81" i="7"/>
  <c r="E80" i="7"/>
  <c r="E78" i="7"/>
  <c r="E79" i="8"/>
  <c r="E81" i="8"/>
  <c r="E80" i="8"/>
  <c r="E78" i="8"/>
  <c r="E82" i="8"/>
  <c r="D114" i="6"/>
  <c r="D112" i="6"/>
  <c r="E93" i="6"/>
  <c r="D48" i="6"/>
  <c r="D37" i="6"/>
  <c r="E64" i="6"/>
  <c r="D114" i="5"/>
  <c r="D112" i="5"/>
  <c r="E93" i="5"/>
  <c r="D84" i="5"/>
  <c r="D48" i="5"/>
  <c r="D37" i="5"/>
  <c r="P36" i="2"/>
  <c r="T34" i="2"/>
  <c r="S34" i="2"/>
  <c r="R34" i="2"/>
  <c r="G33" i="2"/>
  <c r="G32" i="2"/>
  <c r="G31" i="2"/>
  <c r="G30" i="2"/>
  <c r="G29" i="2"/>
  <c r="E84" i="7" l="1"/>
  <c r="E92" i="7" s="1"/>
  <c r="E94" i="7" s="1"/>
  <c r="E128" i="7" s="1"/>
  <c r="E84" i="8"/>
  <c r="E92" i="8" s="1"/>
  <c r="E94" i="8" s="1"/>
  <c r="E128" i="8" s="1"/>
  <c r="D84" i="6"/>
  <c r="D74" i="6"/>
  <c r="E31" i="6"/>
  <c r="E31" i="5"/>
  <c r="E70" i="5" s="1"/>
  <c r="E70" i="6" l="1"/>
  <c r="E71" i="6"/>
  <c r="E125" i="6"/>
  <c r="E83" i="6"/>
  <c r="E73" i="6"/>
  <c r="E36" i="6"/>
  <c r="E69" i="6"/>
  <c r="E35" i="6"/>
  <c r="E72" i="6"/>
  <c r="E71" i="5"/>
  <c r="E125" i="5"/>
  <c r="E73" i="5"/>
  <c r="E36" i="5"/>
  <c r="E69" i="5"/>
  <c r="E35" i="5"/>
  <c r="E83" i="5"/>
  <c r="E72" i="5"/>
  <c r="F27" i="3"/>
  <c r="E37" i="5" l="1"/>
  <c r="E37" i="6"/>
  <c r="E46" i="6" s="1"/>
  <c r="E102" i="7"/>
  <c r="E129" i="7" s="1"/>
  <c r="E130" i="7" s="1"/>
  <c r="E106" i="7" s="1"/>
  <c r="E74" i="6"/>
  <c r="E127" i="6" s="1"/>
  <c r="E74" i="5"/>
  <c r="E127" i="5" s="1"/>
  <c r="E42" i="5" l="1"/>
  <c r="E62" i="5"/>
  <c r="E44" i="6"/>
  <c r="E42" i="6"/>
  <c r="E40" i="5"/>
  <c r="E43" i="5"/>
  <c r="E45" i="5"/>
  <c r="E47" i="5"/>
  <c r="E44" i="5"/>
  <c r="E46" i="5"/>
  <c r="E41" i="5"/>
  <c r="E62" i="6"/>
  <c r="E47" i="6"/>
  <c r="E45" i="6"/>
  <c r="E41" i="6"/>
  <c r="E43" i="6"/>
  <c r="E40" i="6"/>
  <c r="E102" i="6"/>
  <c r="E129" i="6" s="1"/>
  <c r="E102" i="5"/>
  <c r="E129" i="5" s="1"/>
  <c r="E102" i="8"/>
  <c r="E129" i="8" s="1"/>
  <c r="E130" i="8" s="1"/>
  <c r="E48" i="6" l="1"/>
  <c r="E63" i="6" s="1"/>
  <c r="E65" i="6" s="1"/>
  <c r="E126" i="6" s="1"/>
  <c r="E48" i="5"/>
  <c r="E106" i="8"/>
  <c r="E107" i="8" s="1"/>
  <c r="E111" i="8" s="1"/>
  <c r="E63" i="5" l="1"/>
  <c r="E65" i="5" s="1"/>
  <c r="E126" i="5" s="1"/>
  <c r="E82" i="6"/>
  <c r="E81" i="6"/>
  <c r="E79" i="6"/>
  <c r="E80" i="6"/>
  <c r="E78" i="6"/>
  <c r="E117" i="8"/>
  <c r="E119" i="8" s="1"/>
  <c r="E121" i="8" s="1"/>
  <c r="E109" i="8"/>
  <c r="E110" i="8"/>
  <c r="E107" i="7"/>
  <c r="E121" i="7" s="1"/>
  <c r="E84" i="6" l="1"/>
  <c r="E92" i="6" s="1"/>
  <c r="E94" i="6" s="1"/>
  <c r="E128" i="6" s="1"/>
  <c r="E130" i="6" s="1"/>
  <c r="E82" i="5"/>
  <c r="E78" i="5"/>
  <c r="E80" i="5"/>
  <c r="E79" i="5"/>
  <c r="E81" i="5"/>
  <c r="E106" i="6"/>
  <c r="E112" i="8"/>
  <c r="E131" i="8" s="1"/>
  <c r="E132" i="8" s="1"/>
  <c r="E110" i="7"/>
  <c r="E111" i="7"/>
  <c r="E109" i="7"/>
  <c r="E84" i="5" l="1"/>
  <c r="E92" i="5" s="1"/>
  <c r="E94" i="5" s="1"/>
  <c r="E128" i="5" s="1"/>
  <c r="E130" i="5" s="1"/>
  <c r="E107" i="6"/>
  <c r="E109" i="6" s="1"/>
  <c r="C33" i="2"/>
  <c r="F132" i="8"/>
  <c r="E112" i="7"/>
  <c r="E131" i="7" s="1"/>
  <c r="E132" i="7" s="1"/>
  <c r="F132" i="7" s="1"/>
  <c r="E117" i="6" l="1"/>
  <c r="E119" i="6" s="1"/>
  <c r="E121" i="6" s="1"/>
  <c r="E111" i="6"/>
  <c r="E110" i="6"/>
  <c r="E106" i="5"/>
  <c r="E33" i="2"/>
  <c r="H33" i="2" s="1"/>
  <c r="I33" i="2" s="1"/>
  <c r="H24" i="9"/>
  <c r="I24" i="9" s="1"/>
  <c r="J24" i="9" s="1"/>
  <c r="C32" i="2"/>
  <c r="E112" i="6" l="1"/>
  <c r="E131" i="6" s="1"/>
  <c r="E132" i="6" s="1"/>
  <c r="E107" i="5"/>
  <c r="E111" i="5" s="1"/>
  <c r="E32" i="2"/>
  <c r="H32" i="2" s="1"/>
  <c r="I32" i="2" s="1"/>
  <c r="H23" i="9"/>
  <c r="I23" i="9" s="1"/>
  <c r="J23" i="9" s="1"/>
  <c r="K23" i="9" s="1"/>
  <c r="K24" i="9"/>
  <c r="F132" i="6" l="1"/>
  <c r="C31" i="2"/>
  <c r="E110" i="5"/>
  <c r="E109" i="5"/>
  <c r="E117" i="5"/>
  <c r="E119" i="5" s="1"/>
  <c r="E121" i="5" s="1"/>
  <c r="E36" i="1"/>
  <c r="E35" i="1"/>
  <c r="E37" i="1" s="1"/>
  <c r="E40" i="1" s="1"/>
  <c r="E112" i="5" l="1"/>
  <c r="E131" i="5" s="1"/>
  <c r="E132" i="5" s="1"/>
  <c r="C30" i="2" s="1"/>
  <c r="E31" i="2"/>
  <c r="H31" i="2" s="1"/>
  <c r="I31" i="2" s="1"/>
  <c r="H22" i="9"/>
  <c r="I22" i="9" s="1"/>
  <c r="J22" i="9" s="1"/>
  <c r="K22" i="9" s="1"/>
  <c r="E46" i="1"/>
  <c r="F132" i="5" l="1"/>
  <c r="E30" i="2"/>
  <c r="H30" i="2" s="1"/>
  <c r="I30" i="2" s="1"/>
  <c r="H21" i="9"/>
  <c r="I21" i="9" s="1"/>
  <c r="J21" i="9" s="1"/>
  <c r="K21" i="9" s="1"/>
  <c r="E42" i="1"/>
  <c r="E43" i="1"/>
  <c r="E45" i="1"/>
  <c r="E44" i="1"/>
  <c r="E47" i="1"/>
  <c r="E41" i="1"/>
  <c r="E48" i="1" l="1"/>
  <c r="D114" i="1"/>
  <c r="D112" i="1"/>
  <c r="E93" i="1"/>
  <c r="D48" i="1"/>
  <c r="D37" i="1"/>
  <c r="E125" i="1"/>
  <c r="E72" i="1" l="1"/>
  <c r="E64" i="1"/>
  <c r="E71" i="1"/>
  <c r="E83" i="1"/>
  <c r="E70" i="1"/>
  <c r="E69" i="1"/>
  <c r="E73" i="1"/>
  <c r="D84" i="1"/>
  <c r="D74" i="1" l="1"/>
  <c r="E62" i="1"/>
  <c r="E74" i="1"/>
  <c r="E127" i="1" s="1"/>
  <c r="E63" i="1" l="1"/>
  <c r="E65" i="1" s="1"/>
  <c r="E126" i="1" l="1"/>
  <c r="E82" i="1" l="1"/>
  <c r="E81" i="1"/>
  <c r="E78" i="1"/>
  <c r="E80" i="1"/>
  <c r="E79" i="1"/>
  <c r="E84" i="1" l="1"/>
  <c r="E92" i="1" s="1"/>
  <c r="E94" i="1" s="1"/>
  <c r="E128" i="1" s="1"/>
  <c r="E130" i="1" s="1"/>
  <c r="E106" i="1" s="1"/>
  <c r="E107" i="1" l="1"/>
  <c r="E111" i="1" s="1"/>
  <c r="E110" i="1" l="1"/>
  <c r="E119" i="1"/>
  <c r="E121" i="1" s="1"/>
  <c r="E109" i="1"/>
  <c r="E112" i="1" l="1"/>
  <c r="E131" i="1" s="1"/>
  <c r="E132" i="1" s="1"/>
  <c r="C29" i="2" l="1"/>
  <c r="F132" i="1"/>
  <c r="E29" i="2" l="1"/>
  <c r="H29" i="2" s="1"/>
  <c r="H20" i="9"/>
  <c r="I20" i="9" s="1"/>
  <c r="J20" i="9" s="1"/>
  <c r="J25" i="9" s="1"/>
  <c r="I29" i="2" l="1"/>
  <c r="I34" i="2" s="1"/>
  <c r="H34" i="2"/>
  <c r="K20" i="9"/>
  <c r="K26" i="9"/>
  <c r="K25" i="9" l="1"/>
  <c r="K29" i="9" s="1"/>
  <c r="F107" i="1" l="1"/>
</calcChain>
</file>

<file path=xl/sharedStrings.xml><?xml version="1.0" encoding="utf-8"?>
<sst xmlns="http://schemas.openxmlformats.org/spreadsheetml/2006/main" count="1443" uniqueCount="472">
  <si>
    <t>PREGÃO N.º ____/202_</t>
  </si>
  <si>
    <t>PLANILHA DE CUSTOS E FORMAÇÃO DE PREÇOS</t>
  </si>
  <si>
    <t>Discriminação dos Serviços</t>
  </si>
  <si>
    <t>A</t>
  </si>
  <si>
    <t>Data de apresentação da proposta</t>
  </si>
  <si>
    <t>B</t>
  </si>
  <si>
    <t>Município</t>
  </si>
  <si>
    <t>C</t>
  </si>
  <si>
    <t>Ano do Acordo, Convenção ou Dissídio Coletivo</t>
  </si>
  <si>
    <t>D</t>
  </si>
  <si>
    <t>Nº de meses de execução contratual</t>
  </si>
  <si>
    <t>Identificação do Serviço</t>
  </si>
  <si>
    <t>Tipo de Serviço</t>
  </si>
  <si>
    <t>Unidade de Medida</t>
  </si>
  <si>
    <t>Posto</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</si>
  <si>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</si>
  <si>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</si>
  <si>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</si>
  <si>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</si>
  <si>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</si>
  <si>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 base da categoria (dia/mês/ano)</t>
  </si>
  <si>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</si>
  <si>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</si>
  <si>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</si>
  <si>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</si>
  <si>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</si>
  <si>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</si>
  <si>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</si>
  <si>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</si>
  <si>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</si>
  <si>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</si>
  <si>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</si>
  <si>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</si>
  <si>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</si>
  <si>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t>MÓDULO 2 – ENCARGOS E BENEFÍCIOS ANUAIS, MENSAIS E DIÁRIOS</t>
  </si>
  <si>
    <t>Submódulo 2.1 - 13º Salário, Férias e Adicional de Férias</t>
  </si>
  <si>
    <t>TOTAL SUBMÓDULO 2.1</t>
  </si>
  <si>
    <t>Submódulo 2.2 - GPS, FGTS e Outras Contribuições</t>
  </si>
  <si>
    <t xml:space="preserve">INSS </t>
  </si>
  <si>
    <t xml:space="preserve">Salário Educação </t>
  </si>
  <si>
    <t>SAT (Seguro Acidente de Trabalho)</t>
  </si>
  <si>
    <t>SESC ou SESI</t>
  </si>
  <si>
    <t xml:space="preserve">SENAI - SENAC </t>
  </si>
  <si>
    <t xml:space="preserve">SEBRAE </t>
  </si>
  <si>
    <t>G</t>
  </si>
  <si>
    <t xml:space="preserve">INCRA </t>
  </si>
  <si>
    <t>H</t>
  </si>
  <si>
    <t xml:space="preserve">FGTS </t>
  </si>
  <si>
    <t>TOTAL SUBMÓDULO 2.2</t>
  </si>
  <si>
    <t>Submódulo 2.3 - Benefícios Mensais e Diários</t>
  </si>
  <si>
    <t>-</t>
  </si>
  <si>
    <t>Seguro de Vida</t>
  </si>
  <si>
    <t>TOTAL SUBMÓDULO 2.3</t>
  </si>
  <si>
    <t>QUADRO-RESUMO DO MÓDULO 2 - ENCARGOS, BENEFÍCIOS ANUAIS, MENSAIS E DIÁRIOS</t>
  </si>
  <si>
    <t>Módulo 2 - Encargos, Benefícios Anuais, Mensais e Diários</t>
  </si>
  <si>
    <t>2.1</t>
  </si>
  <si>
    <t>13º Salário, Férias e Adicional de Férias</t>
  </si>
  <si>
    <t>2.2</t>
  </si>
  <si>
    <t>GPS, FGTS e Outras Contribuições</t>
  </si>
  <si>
    <t>2.3</t>
  </si>
  <si>
    <t>Benefícios Mensais e Diários</t>
  </si>
  <si>
    <t>TOTAL DO MÓDULO 2</t>
  </si>
  <si>
    <t>MÓDULO 3 – PROVISÃO PARA RESCISÃO</t>
  </si>
  <si>
    <t>PROVISÃO PARA RESCISÃO</t>
  </si>
  <si>
    <t>Aviso Prévio Indenizado</t>
  </si>
  <si>
    <t>Incidência do FGTS sobre Aviso Prévio Indenizado</t>
  </si>
  <si>
    <t xml:space="preserve">Aviso Prévio Trabalhado </t>
  </si>
  <si>
    <t>Incidência de GPS, FGTS e outras contribuições sobre o Aviso Prévio Trabalhado</t>
  </si>
  <si>
    <t>Multa sobre FGTS e contribuição social sobre o aviso prévio indenizado e sobre o aviso prévio trabalhado  (Alterado conforme Lei  nº  13.932/2019 )</t>
  </si>
  <si>
    <t>TOTAL DO MÓDULO 3</t>
  </si>
  <si>
    <t>MÓDULO 4 – CUSTO DE REPOSIÇÃO DO PROFISSIONAL AUSENTE</t>
  </si>
  <si>
    <t>Submódulo 4.1 - Substituto nas Ausências Legais</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</si>
  <si>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</si>
  <si>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</si>
  <si>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</si>
  <si>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</si>
  <si>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</si>
  <si>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</si>
  <si>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TOTAL SUBMÓDULO 4.1</t>
  </si>
  <si>
    <t>Submódulo 4.2 - Intrajornada</t>
  </si>
  <si>
    <t xml:space="preserve"> Substituto na cobertura de Intervalo para repouso ou alimentação</t>
  </si>
  <si>
    <t>TOTAL SUBMÓDULO 4.2</t>
  </si>
  <si>
    <t>QUADRO-RESUMO DO MÓDULO 4 - CUSTO DE REPOSIÇÃO DO PROFISSIONAL AUSENTE</t>
  </si>
  <si>
    <t>Módulo 4 - Custo de Reposição do Profissional Ausente</t>
  </si>
  <si>
    <t>4.1</t>
  </si>
  <si>
    <t>Substituto nas Ausências Legais</t>
  </si>
  <si>
    <t>4.2</t>
  </si>
  <si>
    <t>Substituto na Intrajornada</t>
  </si>
  <si>
    <t>TOTAL DO MÓDULO 4</t>
  </si>
  <si>
    <t>MÓDULO 5 – INSUMOS DIVERSOS</t>
  </si>
  <si>
    <t>INSUMOS DIVERSOS</t>
  </si>
  <si>
    <t xml:space="preserve">Insumo dos Uniformes </t>
  </si>
  <si>
    <t>TOTAL DO MÓDULO 5</t>
  </si>
  <si>
    <t>MÓDULO 6 – CUSTOS INDIRETOS, TRIBUTOS E LUCRO</t>
  </si>
  <si>
    <t>CUSTOS INDIRETOS, TRIBUTOS E LUCRO</t>
  </si>
  <si>
    <t>Custos Indiretos</t>
  </si>
  <si>
    <t>Lucro</t>
  </si>
  <si>
    <t>TRIBUTOS</t>
  </si>
  <si>
    <t>C.1</t>
  </si>
  <si>
    <t>PIS (Lucro Presumido)</t>
  </si>
  <si>
    <t>C.2</t>
  </si>
  <si>
    <t>COFINS (Lucro Presumido)</t>
  </si>
  <si>
    <t>C.3</t>
  </si>
  <si>
    <t>ISS</t>
  </si>
  <si>
    <t>TOTAL DO MÓDULO 6</t>
  </si>
  <si>
    <t>a)</t>
  </si>
  <si>
    <t>Tributos % = To = .............................................................</t>
  </si>
  <si>
    <t>b)</t>
  </si>
  <si>
    <t>(Total dos Módulos 1, 2, 3, 4 e 5+ Custos indiretos + lucro)= Po = ...................................</t>
  </si>
  <si>
    <t>c)</t>
  </si>
  <si>
    <t>Po / (1 - To) = P1 = ..............................................................................</t>
  </si>
  <si>
    <t>Valor dos Tributos = P1 - Po</t>
  </si>
  <si>
    <t>QUADRO RESUMO DO CUSTO POR EMPREGADO</t>
  </si>
  <si>
    <t>Mão-de-Obra vinculada à execução contratual (valor por empregado)</t>
  </si>
  <si>
    <t>Subtotal (A + B + C + D + E)</t>
  </si>
  <si>
    <t>PREÇO TOTAL POR EMPREGADO</t>
  </si>
  <si>
    <t>Nº do Processo:</t>
  </si>
  <si>
    <t>Serviço de Vigilância Armada e Desarmada</t>
  </si>
  <si>
    <t>Vigilante desarmado 5x2 com 44 horas semanais</t>
  </si>
  <si>
    <t>13 (Décimo-terceiro) salário</t>
  </si>
  <si>
    <t xml:space="preserve">Férias e Adicional de Férias  </t>
  </si>
  <si>
    <t xml:space="preserve">Transporte </t>
  </si>
  <si>
    <t>Plano de saúde</t>
  </si>
  <si>
    <t>Fundo Social e Odontológico</t>
  </si>
  <si>
    <t>Fundo de Aposentadoria</t>
  </si>
  <si>
    <t>Auxílio-Refeição/Alimentação (VA R$ 45,12 -2% = 44,217)</t>
  </si>
  <si>
    <t>UNIFORMES</t>
  </si>
  <si>
    <t>Item</t>
  </si>
  <si>
    <t>Especificação do Uniforme</t>
  </si>
  <si>
    <t>Period.</t>
  </si>
  <si>
    <t>Qtd. Anual</t>
  </si>
  <si>
    <t>Valor Unitário</t>
  </si>
  <si>
    <t>Valor Total</t>
  </si>
  <si>
    <t>Calça comprida com bolso lateral, conforme modelo aprovado pelo DPF.</t>
  </si>
  <si>
    <t>Camisa de manga curta em Algodão , com o distintivo bordado no
bolso, conforme modelo aprovado pelo DPF.</t>
  </si>
  <si>
    <t xml:space="preserve"> Meia tipo social, de algodão, boa qualidade, na cor
preta, par.</t>
  </si>
  <si>
    <t>Coturno, meio couro e meio lona, leve, com zíper,
conforme modelo aprovado pelo DPF.</t>
  </si>
  <si>
    <t>Cinto de nylon, conforme modelo aprovado pelo DPF.</t>
  </si>
  <si>
    <t>Tipo Japona de frio, fornecida a cada 12 (doze) meses.</t>
  </si>
  <si>
    <t>Quepe com emblema, fornecido a cada 12 (doze)
meses.</t>
  </si>
  <si>
    <t>Capa de chuva plástica, impermeável em PVC forrado  ou forro em tresvira, na cor preta com capuz e mangas,
com	faixas	fluor fornecida a cada 12 (doze) meses.</t>
  </si>
  <si>
    <t>Crachá</t>
  </si>
  <si>
    <t>Valor Total Mensal</t>
  </si>
  <si>
    <t>Uniformes para os postos-SUPERVISOR</t>
  </si>
  <si>
    <t>Terno Preto</t>
  </si>
  <si>
    <t>Camisas Sociais Brancas</t>
  </si>
  <si>
    <t>Calça Social</t>
  </si>
  <si>
    <t>Cinto de Couro Preto</t>
  </si>
  <si>
    <t>Gravata Preta</t>
  </si>
  <si>
    <t>Sapato Social Preto</t>
  </si>
  <si>
    <t>Meias social Preta</t>
  </si>
  <si>
    <t>Especificação</t>
  </si>
  <si>
    <t>Qtd.</t>
  </si>
  <si>
    <t>Revólver calibre 38 (trinta e oito), oxidado, cabo de borracha, com munição.</t>
  </si>
  <si>
    <t xml:space="preserve">TOTAL GERAL MENSAL  </t>
  </si>
  <si>
    <t>Lanterna tática de alumínio, LED, no mínimo 190 (cento e noventa) Lumens e pilhas recarregáveis.</t>
  </si>
  <si>
    <t>Pilhas recarregáveis para lanterna AAA.</t>
  </si>
  <si>
    <t>Carregador para pilhas recarregáveis</t>
  </si>
  <si>
    <t>Cassetete tipo tonfa de polímero ou material similar (vedado o de madeira), em dimensões adequadas ao Posto).</t>
  </si>
  <si>
    <t>Porta cassetete.</t>
  </si>
  <si>
    <t>Apito de metal, com cordão.</t>
  </si>
  <si>
    <t>Rádio/transceptor HT, digital para comunicação, portátil com caneleta de comunicação comum e reservada, novo e de primeiro uso, alcance mínimo de 4 km, com bateria recarregável reserva, com microfone de lapela e fone auricular de silicone modelo espiral sintonizado em frequência da empresa funcionado 24 (vinte e quatro) horas (o aparelho utilizado no Posto de Vigilância de 12 (doze) horas diurna será o mesmo utilizado no Posto de
Vigilância de 12 (doze) horas noturna). Motorola Ou similiar</t>
  </si>
  <si>
    <t>Baterias reservas para Rádio HT com o carregador.</t>
  </si>
  <si>
    <t>Suspensório com suporte para Rádio HT.</t>
  </si>
  <si>
    <t>Distintivo tipo Broche</t>
  </si>
  <si>
    <t>Armario de Aço</t>
  </si>
  <si>
    <t>Bastão Ronda Completo</t>
  </si>
  <si>
    <t>Livro de Ocorrências com emblema da CONTRATADA e caneta esferográfica. Observação: A CONTRATADA deverá fornecer aos profissionais dos Postos
de Vigilância, sempre que necessário</t>
  </si>
  <si>
    <t>TOTAL GERAL</t>
  </si>
  <si>
    <t>Materiais</t>
  </si>
  <si>
    <t>Equipamentos</t>
  </si>
  <si>
    <t xml:space="preserve">Quantidade total a contratar </t>
  </si>
  <si>
    <t>Ao</t>
  </si>
  <si>
    <t>Fundação Oswaldo Cruz – FIOCRUZ</t>
  </si>
  <si>
    <t>Processo Administrativo n.° 25027.100019/2020-30)</t>
  </si>
  <si>
    <t>PREGÃO ELETRÔNICO - 01/2020</t>
  </si>
  <si>
    <t xml:space="preserve">PROPOSTA DE PREÇO 0016/2020 </t>
  </si>
  <si>
    <t>DADOS DA EMPRESA</t>
  </si>
  <si>
    <t>AC SEGURANÇA EIRELI</t>
  </si>
  <si>
    <t>CNPJ: 09.459.901/0001-10      I.E 07.501.441/001-19</t>
  </si>
  <si>
    <t>SRIA QE 38 QD 02 T 11 GUARA II</t>
  </si>
  <si>
    <t>BRASILIA-DF</t>
  </si>
  <si>
    <t>CEP:</t>
  </si>
  <si>
    <t>71.070-380</t>
  </si>
  <si>
    <t>FONE FAX</t>
  </si>
  <si>
    <t>(061) 3361.9003</t>
  </si>
  <si>
    <t>BANCO: SANTANDER</t>
  </si>
  <si>
    <t>AGENCIA:  3100</t>
  </si>
  <si>
    <t>CONTA: 130042303</t>
  </si>
  <si>
    <t>EMAIL: DIRETORIA@ACVIGILANCIADF.COM.BR</t>
  </si>
  <si>
    <t>REPRESENTANTE LEGAL</t>
  </si>
  <si>
    <t>NATHAN ALMEIDA ANDRADE</t>
  </si>
  <si>
    <t>RG: 073.8751804 SSP/BA</t>
  </si>
  <si>
    <t>CPF: 950.170.201-44</t>
  </si>
  <si>
    <t>ESTADO CIVIL: SOLTEIRO</t>
  </si>
  <si>
    <t>NACIONALIDADE: BRASILEIRO</t>
  </si>
  <si>
    <t>CARGO: SÓCIO/ADMINISTRADOR</t>
  </si>
  <si>
    <t>(061) 3361-9003</t>
  </si>
  <si>
    <t>Tipo de serviço (A)</t>
  </si>
  <si>
    <t>Valor proposto por empregado (B)</t>
  </si>
  <si>
    <t>Valor proposto por posto (D) = (B x C)</t>
  </si>
  <si>
    <t>Quantidade Total Funcionários</t>
  </si>
  <si>
    <t xml:space="preserve">QUADRO-RESUMO </t>
  </si>
  <si>
    <t>Qtde. de funcionário por postos    (E)</t>
  </si>
  <si>
    <t>Supervisor diurno 5x2 com 44 horas semanais</t>
  </si>
  <si>
    <t>Vigilante diurno 12x36 armado</t>
  </si>
  <si>
    <t>Qtde. de posto (C)</t>
  </si>
  <si>
    <t>Supervisor noturno 12x36</t>
  </si>
  <si>
    <t>Vigilante noturno armado 12x36</t>
  </si>
  <si>
    <t>Valor total do serviço
( F ) = (D x E)</t>
  </si>
  <si>
    <t>Valor total do serviço
ANUAL  ( F X12)</t>
  </si>
  <si>
    <t>Obs.: A lista de materiais acima descritos é exemplificativo. Poderá ser ajustada de acordo com a necessidade para prestação do serviço.</t>
  </si>
  <si>
    <t>Total</t>
  </si>
  <si>
    <t xml:space="preserve">O valor dos equipamentos e elevantamento da vida útil foi realizada pelo Setor SELIC.  </t>
  </si>
  <si>
    <t>Memória de cálculo da depreciação: Valor do quipamento dividido pela vida útil = depreciação mensal</t>
  </si>
  <si>
    <t>Prazo: Inserido o mesmo prazo descrito no contrato atual</t>
  </si>
  <si>
    <t>Valor Unitário da depreciação: Valor da depreciação mensal multiplicado pelo prazo</t>
  </si>
  <si>
    <t>Valor total: valor da depreciação multiplicado pela quantidade dividido pelo prazo</t>
  </si>
  <si>
    <r>
      <t>VALOR TOTAL RATEADO POR</t>
    </r>
    <r>
      <rPr>
        <b/>
        <sz val="12"/>
        <color rgb="FFFF0000"/>
        <rFont val="Calibri"/>
        <family val="2"/>
        <scheme val="minor"/>
      </rPr>
      <t xml:space="preserve"> 21 FUNCIONÁRIOS</t>
    </r>
  </si>
  <si>
    <t>obs.: Salários e benefícios de acordo com a CCT 2023.</t>
  </si>
  <si>
    <t>EQUIPAMENTOS/MATERIAL</t>
  </si>
  <si>
    <t>Uniformes para os postos VIGILANTE</t>
  </si>
  <si>
    <t xml:space="preserve">            VIPPIM Segurança e Vigilância LTDA</t>
  </si>
  <si>
    <t>À</t>
  </si>
  <si>
    <t>Brasília - DF</t>
  </si>
  <si>
    <t>Ref. PROPOSTA DE PREÇOS</t>
  </si>
  <si>
    <t>DADOS DA EMPRESA:</t>
  </si>
  <si>
    <r>
      <t xml:space="preserve">RAZÃO SOCIAL: </t>
    </r>
    <r>
      <rPr>
        <sz val="12"/>
        <color rgb="FF000000"/>
        <rFont val="Arial Narrow"/>
        <family val="2"/>
      </rPr>
      <t>VIPPIM VIGILÂNCIA E SEGURANÇA LTDA</t>
    </r>
  </si>
  <si>
    <r>
      <t xml:space="preserve">CNPJ: </t>
    </r>
    <r>
      <rPr>
        <sz val="12"/>
        <color rgb="FF000000"/>
        <rFont val="Arial Narrow"/>
        <family val="2"/>
      </rPr>
      <t>11.349.160/0001-67</t>
    </r>
  </si>
  <si>
    <r>
      <t xml:space="preserve">ENDEREÇO: </t>
    </r>
    <r>
      <rPr>
        <sz val="12"/>
        <color rgb="FF000000"/>
        <rFont val="Arial Narrow"/>
        <family val="2"/>
      </rPr>
      <t>RUA 05 LOTE 23 - LOJA 02 - PÓLO DE MODAS - GUARÁ - DF - CEP: 71.070-505</t>
    </r>
  </si>
  <si>
    <r>
      <rPr>
        <b/>
        <sz val="12"/>
        <color rgb="FF000000"/>
        <rFont val="Arial Narrow"/>
        <family val="2"/>
      </rPr>
      <t>Email:</t>
    </r>
    <r>
      <rPr>
        <sz val="12"/>
        <color rgb="FF000000"/>
        <rFont val="Arial Narrow"/>
        <family val="2"/>
      </rPr>
      <t xml:space="preserve"> vippimezpcomercial@gmail.com</t>
    </r>
  </si>
  <si>
    <t>Prezados Senhores,</t>
  </si>
  <si>
    <t>DOS PREÇOS PROPOSTOS</t>
  </si>
  <si>
    <t>ITEM</t>
  </si>
  <si>
    <t>DESCRIÇÃO</t>
  </si>
  <si>
    <t>TURNO</t>
  </si>
  <si>
    <t>QUANTIDADE DE POSTOS</t>
  </si>
  <si>
    <t>QUANTIDADE DE VIGILANTES</t>
  </si>
  <si>
    <t>VALOR UNITÁRIO DO HOMEM</t>
  </si>
  <si>
    <t>VALOR UNITÁRIO DO POSTO</t>
  </si>
  <si>
    <t>VALOR MENSAL</t>
  </si>
  <si>
    <t xml:space="preserve">VALOR GLOBAL     </t>
  </si>
  <si>
    <t>Diurno 44hs</t>
  </si>
  <si>
    <t>Diurno 12x36hs</t>
  </si>
  <si>
    <t>Noturno 12x36hs</t>
  </si>
  <si>
    <t>VALOR TOTAL</t>
  </si>
  <si>
    <t>Valor mensal do serviço</t>
  </si>
  <si>
    <t>Valor Anual do Serviço (12 meses)</t>
  </si>
  <si>
    <t xml:space="preserve">DADOS BANCÁRIOS: </t>
  </si>
  <si>
    <r>
      <t xml:space="preserve">BANCO DO BRASIL S/A             AGÊNCIA: </t>
    </r>
    <r>
      <rPr>
        <sz val="12"/>
        <color rgb="FF000000"/>
        <rFont val="Arial Narrow"/>
        <family val="2"/>
      </rPr>
      <t xml:space="preserve">3599-8 </t>
    </r>
    <r>
      <rPr>
        <b/>
        <sz val="12"/>
        <color rgb="FF000000"/>
        <rFont val="Arial Narrow"/>
        <family val="2"/>
      </rPr>
      <t xml:space="preserve">            CONTA-CORRENTE: </t>
    </r>
    <r>
      <rPr>
        <sz val="12"/>
        <color rgb="FF000000"/>
        <rFont val="Arial Narrow"/>
        <family val="2"/>
      </rPr>
      <t>222.658-8</t>
    </r>
  </si>
  <si>
    <t>DADOS DO REPRESENTANTE LEGAL PARA ASSINATURA DO CONTRATO:</t>
  </si>
  <si>
    <r>
      <t xml:space="preserve">NOME: </t>
    </r>
    <r>
      <rPr>
        <sz val="12"/>
        <color rgb="FF000000"/>
        <rFont val="Arial Narrow"/>
        <family val="2"/>
      </rPr>
      <t>Eurípedes Gonçalves</t>
    </r>
  </si>
  <si>
    <r>
      <t xml:space="preserve">ENDEREÇO: </t>
    </r>
    <r>
      <rPr>
        <sz val="12"/>
        <color rgb="FF000000"/>
        <rFont val="Arial Narrow"/>
        <family val="2"/>
      </rPr>
      <t>CH 53 LOTE 06 - TAGUATINGA</t>
    </r>
  </si>
  <si>
    <r>
      <t xml:space="preserve">CEP: </t>
    </r>
    <r>
      <rPr>
        <sz val="12"/>
        <color rgb="FF000000"/>
        <rFont val="Arial Narrow"/>
        <family val="2"/>
      </rPr>
      <t>72.001-500</t>
    </r>
  </si>
  <si>
    <r>
      <rPr>
        <b/>
        <sz val="12"/>
        <color rgb="FF000000"/>
        <rFont val="Arial Narrow"/>
        <family val="2"/>
      </rPr>
      <t xml:space="preserve">CIDADE/UF: </t>
    </r>
    <r>
      <rPr>
        <sz val="12"/>
        <color rgb="FF000000"/>
        <rFont val="Arial Narrow"/>
        <family val="2"/>
      </rPr>
      <t>TAGUATINGA - BRASÍLIA - DF</t>
    </r>
  </si>
  <si>
    <r>
      <t xml:space="preserve">ESTADO CIVIL: </t>
    </r>
    <r>
      <rPr>
        <sz val="12"/>
        <color rgb="FF000000"/>
        <rFont val="Arial Narrow"/>
        <family val="2"/>
      </rPr>
      <t>CASADO</t>
    </r>
  </si>
  <si>
    <r>
      <rPr>
        <b/>
        <sz val="12"/>
        <color rgb="FF000000"/>
        <rFont val="Arial Narrow"/>
        <family val="2"/>
      </rPr>
      <t>CARGO/FUNÇÃO</t>
    </r>
    <r>
      <rPr>
        <sz val="12"/>
        <color rgb="FF000000"/>
        <rFont val="Arial Narrow"/>
        <family val="2"/>
      </rPr>
      <t>: SÓCIO</t>
    </r>
  </si>
  <si>
    <r>
      <t xml:space="preserve">CPF: </t>
    </r>
    <r>
      <rPr>
        <sz val="12"/>
        <color rgb="FF000000"/>
        <rFont val="Arial Narrow"/>
        <family val="2"/>
      </rPr>
      <t>256.203.981-53</t>
    </r>
  </si>
  <si>
    <r>
      <rPr>
        <b/>
        <sz val="12"/>
        <color rgb="FF000000"/>
        <rFont val="Arial Narrow"/>
        <family val="2"/>
      </rPr>
      <t>RG:</t>
    </r>
    <r>
      <rPr>
        <sz val="12"/>
        <color rgb="FF000000"/>
        <rFont val="Arial Narrow"/>
        <family val="2"/>
      </rPr>
      <t xml:space="preserve"> 623.703 - SSP-DF</t>
    </r>
  </si>
  <si>
    <r>
      <t xml:space="preserve">NATURALIDADE: </t>
    </r>
    <r>
      <rPr>
        <sz val="12"/>
        <color rgb="FF000000"/>
        <rFont val="Arial Narrow"/>
        <family val="2"/>
      </rPr>
      <t>BRASÍLIA</t>
    </r>
  </si>
  <si>
    <r>
      <rPr>
        <b/>
        <sz val="12"/>
        <color rgb="FF000000"/>
        <rFont val="Arial Narrow"/>
        <family val="2"/>
      </rPr>
      <t xml:space="preserve">NACIONALIDADE: </t>
    </r>
    <r>
      <rPr>
        <sz val="12"/>
        <color rgb="FF000000"/>
        <rFont val="Arial Narrow"/>
        <family val="2"/>
      </rPr>
      <t>BRASILEIRO</t>
    </r>
  </si>
  <si>
    <t>DECLARAÇÕES:</t>
  </si>
  <si>
    <r>
      <t>1)</t>
    </r>
    <r>
      <rPr>
        <sz val="12"/>
        <color rgb="FF000000"/>
        <rFont val="Arial Narrow"/>
        <family val="2"/>
      </rPr>
      <t xml:space="preserve"> No preço proposto inclusos todos os custos operacionais, encargos previdenciários, trabalhistas, tributários, comerciais e quaisquer outros que incidam direta ou indiretamente na prestação dos serviços, apurados mediante o preenchimento do modelo de Planilha de Custos e Formação de Preços,  conforme, anexo deste edital</t>
    </r>
    <r>
      <rPr>
        <b/>
        <sz val="12"/>
        <color rgb="FF000000"/>
        <rFont val="Arial Narrow"/>
        <family val="2"/>
      </rPr>
      <t>;</t>
    </r>
  </si>
  <si>
    <r>
      <t>2)</t>
    </r>
    <r>
      <rPr>
        <sz val="12"/>
        <color rgb="FF000000"/>
        <rFont val="Arial Narrow"/>
        <family val="2"/>
      </rPr>
      <t xml:space="preserve"> prazo de validade da proposta e de 60 (sessenta) dias a contar da data de sua apresentação;</t>
    </r>
  </si>
  <si>
    <r>
      <t>3)</t>
    </r>
    <r>
      <rPr>
        <sz val="12"/>
        <color rgb="FF000000"/>
        <rFont val="Arial Narrow"/>
        <family val="2"/>
      </rPr>
      <t xml:space="preserve"> A CCT utilizada para a cotação das Planilhas de Custos e Formação de Preços foi a do SINDESP-DF e SINDESV-DF, cuja data base é 01/01/2023.</t>
    </r>
  </si>
  <si>
    <t>Eurípedes Gonçalves</t>
  </si>
  <si>
    <t>Sócio</t>
  </si>
  <si>
    <t>MEMÓRIA DE CÁLCULO  DA PLANILHA DE CUSTOS E FORMAÇÃO DE PREÇOS</t>
  </si>
  <si>
    <t>MÓDULO 1 - Composição da REMUNERAÇÃO</t>
  </si>
  <si>
    <r>
      <rPr>
        <b/>
        <sz val="9.5"/>
        <rFont val="Calibri"/>
        <family val="2"/>
        <scheme val="minor"/>
      </rPr>
      <t xml:space="preserve">
</t>
    </r>
    <r>
      <rPr>
        <sz val="9.5"/>
        <rFont val="Calibri"/>
        <family val="2"/>
        <scheme val="minor"/>
      </rPr>
      <t>A) Salário Base:</t>
    </r>
    <r>
      <rPr>
        <b/>
        <sz val="9.5"/>
        <rFont val="Calibri"/>
        <family val="2"/>
        <scheme val="minor"/>
      </rPr>
      <t xml:space="preserve"> R$ 2.593,73 (Dois mil, quinhentos e noventa e três reais e setenta  e três centavos).
</t>
    </r>
    <r>
      <rPr>
        <sz val="9.5"/>
        <rFont val="Calibri"/>
        <family val="2"/>
        <scheme val="minor"/>
      </rPr>
      <t xml:space="preserve">Os  valores  dos  salários  da  categoria  envolvida  na  prestação  dos  serviços  ora  licitados  estão  definidos  na CCT da Categoria, firmado entre o SEAC-DF e o SINDIBOMBEIROS-DF
</t>
    </r>
  </si>
  <si>
    <r>
      <t xml:space="preserve">B) Adicional de Periculosidade – 30% do salário base:  </t>
    </r>
    <r>
      <rPr>
        <b/>
        <sz val="10"/>
        <color rgb="FF000000"/>
        <rFont val="Calibri"/>
        <family val="2"/>
        <scheme val="minor"/>
      </rPr>
      <t>R$ 778,12</t>
    </r>
  </si>
  <si>
    <r>
      <rPr>
        <u/>
        <sz val="9.5"/>
        <rFont val="Calibri"/>
        <family val="2"/>
        <scheme val="minor"/>
      </rPr>
      <t>Metodolo</t>
    </r>
    <r>
      <rPr>
        <sz val="9.5"/>
        <rFont val="Calibri"/>
        <family val="2"/>
        <scheme val="minor"/>
      </rPr>
      <t>g</t>
    </r>
    <r>
      <rPr>
        <u/>
        <sz val="9.5"/>
        <rFont val="Calibri"/>
        <family val="2"/>
        <scheme val="minor"/>
      </rPr>
      <t>ia de Cálculo do Adicional de Periculosidade</t>
    </r>
    <r>
      <rPr>
        <sz val="9.5"/>
        <rFont val="Calibri"/>
        <family val="2"/>
        <scheme val="minor"/>
      </rPr>
      <t xml:space="preserve">:
</t>
    </r>
    <r>
      <rPr>
        <b/>
        <sz val="9.5"/>
        <rFont val="Calibri"/>
        <family val="2"/>
        <scheme val="minor"/>
      </rPr>
      <t>R$ 2.593,73 * 30%</t>
    </r>
  </si>
  <si>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193 e §§; </t>
    </r>
    <r>
      <rPr>
        <u/>
        <sz val="9.5"/>
        <color rgb="FF0000ED"/>
        <rFont val="Calibri"/>
        <family val="2"/>
        <scheme val="minor"/>
      </rPr>
      <t>CF/88</t>
    </r>
    <r>
      <rPr>
        <sz val="9.5"/>
        <rFont val="Calibri"/>
        <family val="2"/>
        <scheme val="minor"/>
      </rPr>
      <t>: art. 7º, XXIII</t>
    </r>
  </si>
  <si>
    <r>
      <t xml:space="preserve">C) Adicional de Insalubridade: </t>
    </r>
    <r>
      <rPr>
        <b/>
        <sz val="10"/>
        <color rgb="FF000000"/>
        <rFont val="Calibri"/>
        <family val="2"/>
        <scheme val="minor"/>
      </rPr>
      <t>Não contempla</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</si>
  <si>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Salário  Mínimo  ou  Salário  Normativo  *  Adicional  de  Insalubridade  (10%,  20%, 40%)</t>
    </r>
  </si>
  <si>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189 e §§; </t>
    </r>
    <r>
      <rPr>
        <u/>
        <sz val="9.5"/>
        <color rgb="FF0000ED"/>
        <rFont val="Calibri"/>
        <family val="2"/>
        <scheme val="minor"/>
      </rPr>
      <t>CF/88</t>
    </r>
    <r>
      <rPr>
        <sz val="9.5"/>
        <rFont val="Calibri"/>
        <family val="2"/>
        <scheme val="minor"/>
      </rPr>
      <t xml:space="preserve">: art. 7º, XXIII
</t>
    </r>
    <r>
      <rPr>
        <b/>
        <sz val="9.5"/>
        <rFont val="Calibri"/>
        <family val="2"/>
        <scheme val="minor"/>
      </rPr>
      <t>D) Adicional Noturno – 20% do salário base:</t>
    </r>
  </si>
  <si>
    <r>
      <t xml:space="preserve">D) Adicional Noturno: </t>
    </r>
    <r>
      <rPr>
        <b/>
        <sz val="10"/>
        <color rgb="FF000000"/>
        <rFont val="Calibri"/>
        <family val="2"/>
        <scheme val="minor"/>
      </rPr>
      <t>R$ 321,86</t>
    </r>
  </si>
  <si>
    <r>
      <rPr>
        <u/>
        <sz val="9.5"/>
        <rFont val="Calibri"/>
        <family val="2"/>
        <scheme val="minor"/>
      </rPr>
      <t>Metodolo</t>
    </r>
    <r>
      <rPr>
        <sz val="9.5"/>
        <rFont val="Calibri"/>
        <family val="2"/>
        <scheme val="minor"/>
      </rPr>
      <t>g</t>
    </r>
    <r>
      <rPr>
        <u/>
        <sz val="9.5"/>
        <rFont val="Calibri"/>
        <family val="2"/>
        <scheme val="minor"/>
      </rPr>
      <t>ia de Cálculo do Adicional Noturno</t>
    </r>
    <r>
      <rPr>
        <sz val="9.5"/>
        <rFont val="Calibri"/>
        <family val="2"/>
        <scheme val="minor"/>
      </rPr>
      <t xml:space="preserve">:
</t>
    </r>
    <r>
      <rPr>
        <b/>
        <sz val="9.5"/>
        <rFont val="Calibri"/>
        <family val="2"/>
        <scheme val="minor"/>
      </rPr>
      <t>((R$ 2593,73 + R$ 778,12) / (220hs) * (20%) * (7hs) * (15d)</t>
    </r>
  </si>
  <si>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73 e §§; </t>
    </r>
    <r>
      <rPr>
        <u/>
        <sz val="9.5"/>
        <color rgb="FF0000ED"/>
        <rFont val="Calibri"/>
        <family val="2"/>
        <scheme val="minor"/>
      </rPr>
      <t>CF/88</t>
    </r>
    <r>
      <rPr>
        <sz val="9.5"/>
        <rFont val="Calibri"/>
        <family val="2"/>
        <scheme val="minor"/>
      </rPr>
      <t xml:space="preserve">: art. 7º, IX
</t>
    </r>
  </si>
  <si>
    <r>
      <t xml:space="preserve">E) Adicional de Hora Noturna Reduzida: </t>
    </r>
    <r>
      <rPr>
        <b/>
        <sz val="9.5"/>
        <color rgb="FF000000"/>
        <rFont val="Calibri"/>
        <family val="2"/>
        <scheme val="minor"/>
      </rPr>
      <t>R$ 45,98</t>
    </r>
  </si>
  <si>
    <r>
      <t xml:space="preserve">A cláudula 10ª. da CCT firmada entre SINDESP-DF x SINDESV-DF traz o seguinte comando para o cálculo referente ao Adicional Noturno, vejamos: 
</t>
    </r>
    <r>
      <rPr>
        <b/>
        <sz val="9.5"/>
        <rFont val="Calibri"/>
        <family val="2"/>
        <scheme val="minor"/>
      </rPr>
      <t>CLÁUSULA DÉCIMA - ADICIONAL NOTURNO NA ESCALA 12X36</t>
    </r>
    <r>
      <rPr>
        <sz val="9.5"/>
        <rFont val="Calibri"/>
        <family val="2"/>
        <scheme val="minor"/>
      </rPr>
      <t xml:space="preserve"> - O adicional noturno obedecerá a legislação vigente, sendo que o seu cálculo será efetuado dividindo-se o salário por 220 (duzentas e vinte) horas, não havendo prorrogação da jornada noturna (compreendida entre 22h e 5h), independente da continuidade dos serviços, que será pago com o adicional de 20% sobre a hora normal, não sendo devido o adicional noturno sobre as horas laboradas após as 05 horas da manhã (artigo 59- A da CLT).
</t>
    </r>
    <r>
      <rPr>
        <b/>
        <sz val="9.5"/>
        <rFont val="Calibri"/>
        <family val="2"/>
        <scheme val="minor"/>
      </rPr>
      <t>Parágrafo Primeiro</t>
    </r>
    <r>
      <rPr>
        <sz val="9.5"/>
        <rFont val="Calibri"/>
        <family val="2"/>
        <scheme val="minor"/>
      </rPr>
      <t xml:space="preserve"> – Considere-se noturno o trabalho executado entre as 22 (vinte e duas) horas de um dia e as 5 (cinco) horas do dia seguinte, sendo a hora noturno computada como de 52m30s (cinquenta e dois minutos e trinta e segundos).
A Consolidação das Leis do Trabalho estabelece em seu artigo 73 que o trabalho noturno deverá ser remunerado em 20% a mais que o diurno e que considera-se noturno o trabalho compreendido entre 22 e 05 horas:
Art. 73. Salvo nos casos de revezamento semanal ou quinzenal, o trabalho noturno terá remuneração superior à do diurno e, para esse efeito, sua remuneração terá um acréscimo de 20 % (vinte por cento), pelo menos, sobre a hora diurna.
§ 1º A hora do trabalho noturno será computada como de 52 minutos e 30 segundos.
§ 2º Considera-se noturno, para os efeitos deste artigo, o trabalho executado entre as 22 horas de um dia e as 5 horas do dia seguinte.
Faz-se  necessário frisar que o vigilante cumpre uma jornada de trabalho de 12 horas consecutivas de trabalho e 36 horas de descanso remunerado.
Esta jornada primeiramente foi criada no âmbito das convenções coletivas de trabalho e posteriormente foi regulamentado no artigo 59‐A da CLT.
O profissional que trabalha em jornada de 12x36 horas possui uma escala mais benéfica que aquele que labora 44 horas semanais, visto que ao final do mês terá trabalhado aproximadamente 180 horas enquanto que o segundo terá trabalhado aproximadamente 220 horas.
O labor realizado entre as 22 e as 05 horas não implica em nenhuma hipótese no pagamento de mais uma hora de trabalho com o acréscimo dos 20% do adicional noturno. Neste caso é devido apenas o adicional de 20% para o trabalho realizado neste horário, visto que o trabalhador já está sendo remunerado em seu salário pelas 12 horas de trabalho do plantão. Portanto, o trabalho realizado pelo vigilante noturno 12x36 entre as 22 e as 05 horas não compreende a realização de horas extras, sendo aplicável apenas os 20% do adicional noturno.
Além disso, recentemente tivemos essa interpretação defendida pelo </t>
    </r>
    <r>
      <rPr>
        <b/>
        <sz val="9.5"/>
        <rFont val="Calibri"/>
        <family val="2"/>
        <scheme val="minor"/>
      </rPr>
      <t>Acórdão 2243/2019 – TCU – Plenário</t>
    </r>
    <r>
      <rPr>
        <sz val="9.5"/>
        <rFont val="Calibri"/>
        <family val="2"/>
        <scheme val="minor"/>
      </rPr>
      <t xml:space="preserve">, que decidiu “....a hora noturna correspondente a 52 minutos e 30 segundos, no período compreendido entre 22h de um dia e 5h do dia seguinte, deve ser considerada tão somente para fins de cálculo do adicional noturno, não repercutindo na jornada de trabalho...” 
</t>
    </r>
  </si>
  <si>
    <r>
      <rPr>
        <u/>
        <sz val="9.5"/>
        <rFont val="Calibri"/>
        <family val="2"/>
        <scheme val="minor"/>
      </rPr>
      <t>Metodolo</t>
    </r>
    <r>
      <rPr>
        <sz val="9.5"/>
        <rFont val="Calibri"/>
        <family val="2"/>
        <scheme val="minor"/>
      </rPr>
      <t>g</t>
    </r>
    <r>
      <rPr>
        <u/>
        <sz val="9.5"/>
        <rFont val="Calibri"/>
        <family val="2"/>
        <scheme val="minor"/>
      </rPr>
      <t>ia de Cálculo do Adicional Noturno</t>
    </r>
    <r>
      <rPr>
        <sz val="9.5"/>
        <rFont val="Calibri"/>
        <family val="2"/>
        <scheme val="minor"/>
      </rPr>
      <t xml:space="preserve">:
</t>
    </r>
    <r>
      <rPr>
        <b/>
        <sz val="9.5"/>
        <rFont val="Calibri"/>
        <family val="2"/>
        <scheme val="minor"/>
      </rPr>
      <t>((R$ 2.192,65 + R$ 657,80) / (220hs) * (20%) * (1h) * (15d)</t>
    </r>
  </si>
  <si>
    <r>
      <rPr>
        <u/>
        <sz val="9.5"/>
        <rFont val="Calibri"/>
        <family val="2"/>
        <scheme val="minor"/>
      </rPr>
      <t>Fundamenta</t>
    </r>
    <r>
      <rPr>
        <sz val="9.5"/>
        <rFont val="Calibri"/>
        <family val="2"/>
        <scheme val="minor"/>
      </rPr>
      <t>ç</t>
    </r>
    <r>
      <rPr>
        <u/>
        <sz val="9.5"/>
        <rFont val="Calibri"/>
        <family val="2"/>
        <scheme val="minor"/>
      </rPr>
      <t>ão Jurídica:</t>
    </r>
  </si>
  <si>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73 e §§; </t>
    </r>
    <r>
      <rPr>
        <u/>
        <sz val="9.5"/>
        <color rgb="FF0000ED"/>
        <rFont val="Calibri"/>
        <family val="2"/>
        <scheme val="minor"/>
      </rPr>
      <t>CF/88</t>
    </r>
    <r>
      <rPr>
        <sz val="9.5"/>
        <rFont val="Calibri"/>
        <family val="2"/>
        <scheme val="minor"/>
      </rPr>
      <t>: art. 7º, IX</t>
    </r>
  </si>
  <si>
    <t>F) Adicional de hora Extra no Feriado Trabalhado:</t>
  </si>
  <si>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((Salário   Base   +   Adicional   de   Periculosidade   +   Adicional   de   Insalubridade   + Adicional Noturno + Adicional de Hora Noturna Reduzida) / Jornada Mensal) * (1 + Porcentagem da Hora Extra) * (Nº de Horas Extras) * (Dias trabalhados)</t>
    </r>
  </si>
  <si>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59, §1º; </t>
    </r>
    <r>
      <rPr>
        <u/>
        <sz val="9.5"/>
        <color rgb="FF0000ED"/>
        <rFont val="Calibri"/>
        <family val="2"/>
        <scheme val="minor"/>
      </rPr>
      <t>CF/88</t>
    </r>
    <r>
      <rPr>
        <sz val="9.5"/>
        <rFont val="Calibri"/>
        <family val="2"/>
        <scheme val="minor"/>
      </rPr>
      <t xml:space="preserve">: art. 7º, XVI
OBS: Somente deverá ser preenchido se houver expressa previsão no edital de licitação para jornada extraordinária. Por se tratar de custo variável somente integrará o valor mensal quando de sua ocorrência.
</t>
    </r>
    <r>
      <rPr>
        <b/>
        <sz val="9.5"/>
        <rFont val="Calibri"/>
        <family val="2"/>
        <scheme val="minor"/>
      </rPr>
      <t>G) Trabalho Feriado (Súmula 444 do TST):</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</si>
  <si>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((Salário   Base   +   Adicional   de   Periculosidade   +   Adicional   de   Insalubridade   + Adicional Noturno + Adicional de Hora Noturna Reduzida) / Jornada Mensal) * (Nº de Horas Trabalhadas no Feriado) * ((Número de feriados no Ano)/12/(Número de Trabalhadores no Posto)).</t>
    </r>
  </si>
  <si>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71, § 4º; Súmula nº </t>
    </r>
    <r>
      <rPr>
        <u/>
        <sz val="9.5"/>
        <color rgb="FF0000ED"/>
        <rFont val="Calibri"/>
        <family val="2"/>
        <scheme val="minor"/>
      </rPr>
      <t>444</t>
    </r>
    <r>
      <rPr>
        <sz val="9.5"/>
        <rFont val="Calibri"/>
        <family val="2"/>
        <scheme val="minor"/>
      </rPr>
      <t xml:space="preserve">, TST
</t>
    </r>
    <r>
      <rPr>
        <b/>
        <sz val="9.5"/>
        <rFont val="Calibri"/>
        <family val="2"/>
        <scheme val="minor"/>
      </rPr>
      <t>H) Repouso Semanal Remunerado</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</si>
  <si>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((Adicional Noturno + Adicional de Hora Noturna Reduzida + Trabalho Feriado) * (Número de Dias Não Úteis no Mês /Número de Dias Úteis no Mês)).</t>
    </r>
  </si>
  <si>
    <r>
      <rPr>
        <u/>
        <sz val="9.5"/>
        <rFont val="Calibri"/>
        <family val="2"/>
        <scheme val="minor"/>
      </rPr>
      <t>Fundamenta</t>
    </r>
    <r>
      <rPr>
        <sz val="9.5"/>
        <rFont val="Calibri"/>
        <family val="2"/>
        <scheme val="minor"/>
      </rPr>
      <t>ç</t>
    </r>
    <r>
      <rPr>
        <u/>
        <sz val="9.5"/>
        <rFont val="Calibri"/>
        <family val="2"/>
        <scheme val="minor"/>
      </rPr>
      <t xml:space="preserve">ão Jurídica:
</t>
    </r>
    <r>
      <rPr>
        <sz val="9.5"/>
        <rFont val="Calibri"/>
        <family val="2"/>
        <scheme val="minor"/>
      </rPr>
      <t xml:space="preserve">Orientação Jurisprudencial </t>
    </r>
    <r>
      <rPr>
        <u/>
        <sz val="9.5"/>
        <color rgb="FF0000ED"/>
        <rFont val="Calibri"/>
        <family val="2"/>
        <scheme val="minor"/>
      </rPr>
      <t>SDI 1/TST nº 394</t>
    </r>
  </si>
  <si>
    <t>MÓDULO 2
Encargos e Benefícios Anuais, Mensais e Diários.Submódulo 2.1 - 13º (décimo terceiro) Salário, Férias e Adicional de Férias</t>
  </si>
  <si>
    <t>Submódulo 2.1 – 13º Salário e Adicional de Férias.</t>
  </si>
  <si>
    <t>13º SALÁRIO</t>
  </si>
  <si>
    <r>
      <t xml:space="preserve">Remuneração/12.     Em     percentual     da     Remuneração     = (1/12)*100=8,33%                                                                
Fonte: Acórdão TCU n. 1.904/2007 e Acórdão TCU-Plenario Nº 1513/2013. Gratificação de Natal, instituída pela Lei nº 4.090, de 13 de julho de 1962. A provisão mensal representa 1/12 da folha para que ao final do período complete um salário. </t>
    </r>
    <r>
      <rPr>
        <b/>
        <i/>
        <sz val="9.5"/>
        <color rgb="FFFF0000"/>
        <rFont val="Calibri"/>
        <family val="2"/>
        <scheme val="minor"/>
      </rPr>
      <t>Memória de Cálculo: (1/12) x 100 = 8,33%.</t>
    </r>
  </si>
  <si>
    <t>ADICIONAL DE FÉRIAS</t>
  </si>
  <si>
    <t>INCIDÊNCIA DO SUBMÓDULO 2.2.</t>
  </si>
  <si>
    <t>De  acordo  com  a  Nota  3  do  Submódulo  2.2  da  IN  05/2017, os    percentuais    do    referido    submódulo    incidem    sobre o Submódulo 2.1. (Redação dada pela Instrução Normativa nº 7, de 2018)</t>
  </si>
  <si>
    <t>TOTAL</t>
  </si>
  <si>
    <t>Percentual exemplificativo, observar RAT ajustado do submódulo 2.2.</t>
  </si>
  <si>
    <t>Submódulo 2.2 - Encargos Previdenciários (GPS), Fundo de Garantia por Tempo de Serviço (FGTS) e outras contribuições</t>
  </si>
  <si>
    <t>Submódulo 2.2. Encargos Previdenciários e FGTS e outras</t>
  </si>
  <si>
    <t>INSS</t>
  </si>
  <si>
    <t>Conforme  o  artigo  22,  inciso  I,  da  Lei  8.212/91,  a  empresa custeia 20%</t>
  </si>
  <si>
    <t>SALÁRIO EDUCAÇÃO</t>
  </si>
  <si>
    <t>A prestadora de serviços contribui com 2,5%, por determinação do art. 15, da Lei nº 9.424/96; do art. 2º do Decreto nº 3.142/99; e art. 212, § 5º da CF.</t>
  </si>
  <si>
    <t>SEGURO ACIDENTE DE TRABALHO + FAP</t>
  </si>
  <si>
    <t>Segundo  a  classificação  do  nível  de  risco  dos  serviços,  o prêmio pode ser de 1%, 2% ou 3%, é o que preceitua o artigo 22,   inciso   II,   da   Lei   nº   8.212/91.   (RAT   *   FAP)   =   RAT Ajustado* FAP (0,50) * RAT (3,00) = 1,5%</t>
  </si>
  <si>
    <t>SESI/SESC</t>
  </si>
  <si>
    <t xml:space="preserve">Por  força  do  artigo  30  da  Lei  nº  8.036/90,  a  contratada  fica obrigada a contribuir com esses sistemas. </t>
  </si>
  <si>
    <t>SENAI/SENAC</t>
  </si>
  <si>
    <t xml:space="preserve">Em obediência ao Decreto-Lei nº 2.318/86. </t>
  </si>
  <si>
    <t>SEBRAE</t>
  </si>
  <si>
    <t>O  empregador,  para  atender  à  Lei  nº  8.029/90,  contribui  com 0,6% sobre a folha de pagamento.</t>
  </si>
  <si>
    <t>INCRA</t>
  </si>
  <si>
    <t>A empresa participa com 0,2%, para atendimento dos artigos 1º e 2º do Decreto-Lei nº 1.146/70.</t>
  </si>
  <si>
    <t>FGTS</t>
  </si>
  <si>
    <t>O   depósito   voltou   a   ser   de   8%,   como   preconiza   a   Lei Complementar  110/2001.  O  tributo  está  previsto  no  art.  7º, Inciso  III,  da  Constituição  Federal,  tendo  sido  regulamentado pela Lei nº 8.030/90, artigo 15.</t>
  </si>
  <si>
    <t>------</t>
  </si>
  <si>
    <t>Submódulo 2.3 – Benefícios Mensais e Diários</t>
  </si>
  <si>
    <t>A) Transporte:</t>
  </si>
  <si>
    <t>TRANSPORTE</t>
  </si>
  <si>
    <t>Qtde</t>
  </si>
  <si>
    <t>VALOR UNITÁRIO</t>
  </si>
  <si>
    <t>44hs semanais</t>
  </si>
  <si>
    <t>Casa/Trabalho (1 vale de R$ 5,50)</t>
  </si>
  <si>
    <t>Trabalho/Casa (1 vale de R$ 5,50)</t>
  </si>
  <si>
    <t>TOTAL BRUTO</t>
  </si>
  <si>
    <t>DESCONTO 6% SALÁRIO</t>
  </si>
  <si>
    <t>TOTAL LÍQUIDO DO VALE TRANSPORTE</t>
  </si>
  <si>
    <r>
      <rPr>
        <u/>
        <sz val="9.5"/>
        <rFont val="Calibri"/>
        <family val="2"/>
        <scheme val="minor"/>
      </rPr>
      <t>Metodolo</t>
    </r>
    <r>
      <rPr>
        <sz val="9.5"/>
        <rFont val="Calibri"/>
        <family val="2"/>
        <scheme val="minor"/>
      </rPr>
      <t>g</t>
    </r>
    <r>
      <rPr>
        <u/>
        <sz val="9.5"/>
        <rFont val="Calibri"/>
        <family val="2"/>
        <scheme val="minor"/>
      </rPr>
      <t>ia de Cálculo do Vale-Transporte para postos 44hs semanais</t>
    </r>
    <r>
      <rPr>
        <sz val="9.5"/>
        <rFont val="Calibri"/>
        <family val="2"/>
        <scheme val="minor"/>
      </rPr>
      <t>:</t>
    </r>
  </si>
  <si>
    <t>(R$ 5,50) * (2 vales) * (22 dias) – (6% * R$ 3.111,12)</t>
  </si>
  <si>
    <t>12X36</t>
  </si>
  <si>
    <r>
      <rPr>
        <u/>
        <sz val="9.5"/>
        <rFont val="Calibri"/>
        <family val="2"/>
        <scheme val="minor"/>
      </rPr>
      <t>Metodolo</t>
    </r>
    <r>
      <rPr>
        <sz val="9.5"/>
        <rFont val="Calibri"/>
        <family val="2"/>
        <scheme val="minor"/>
      </rPr>
      <t>g</t>
    </r>
    <r>
      <rPr>
        <u/>
        <sz val="9.5"/>
        <rFont val="Calibri"/>
        <family val="2"/>
        <scheme val="minor"/>
      </rPr>
      <t>ia de Cálculo do Vale-Transporte para postos 12x36hs</t>
    </r>
    <r>
      <rPr>
        <sz val="9.5"/>
        <rFont val="Calibri"/>
        <family val="2"/>
        <scheme val="minor"/>
      </rPr>
      <t>:</t>
    </r>
  </si>
  <si>
    <t>(R$ 5,50) * (2 vales) * (15 dias) – (6% * R$ 2.593,73)</t>
  </si>
  <si>
    <t>B) Auxílio Alimentação:</t>
  </si>
  <si>
    <t>ALIMENTAÇÃO</t>
  </si>
  <si>
    <t>QTD</t>
  </si>
  <si>
    <r>
      <rPr>
        <b/>
        <sz val="8.5"/>
        <rFont val="Calibri"/>
        <family val="2"/>
        <scheme val="minor"/>
      </rPr>
      <t>DESCONTO 2%
Previsão CCT</t>
    </r>
  </si>
  <si>
    <t>VALOR FINAL</t>
  </si>
  <si>
    <r>
      <rPr>
        <sz val="9.5"/>
        <rFont val="Calibri"/>
        <family val="2"/>
        <scheme val="minor"/>
      </rPr>
      <t xml:space="preserve">Vale Alimentação
</t>
    </r>
    <r>
      <rPr>
        <b/>
        <sz val="9.5"/>
        <rFont val="Calibri"/>
        <family val="2"/>
        <scheme val="minor"/>
      </rPr>
      <t>12X36</t>
    </r>
  </si>
  <si>
    <r>
      <rPr>
        <sz val="9.5"/>
        <rFont val="Calibri"/>
        <family val="2"/>
        <scheme val="minor"/>
      </rPr>
      <t xml:space="preserve">Vale Alimentação
</t>
    </r>
    <r>
      <rPr>
        <b/>
        <sz val="9.5"/>
        <rFont val="Calibri"/>
        <family val="2"/>
        <scheme val="minor"/>
      </rPr>
      <t>44hs semanais</t>
    </r>
  </si>
  <si>
    <r>
      <rPr>
        <b/>
        <u/>
        <sz val="9.5"/>
        <rFont val="Calibri"/>
        <family val="2"/>
        <scheme val="minor"/>
      </rPr>
      <t>Metodolo</t>
    </r>
    <r>
      <rPr>
        <b/>
        <sz val="9.5"/>
        <rFont val="Calibri"/>
        <family val="2"/>
        <scheme val="minor"/>
      </rPr>
      <t>g</t>
    </r>
    <r>
      <rPr>
        <b/>
        <u/>
        <sz val="9.5"/>
        <rFont val="Calibri"/>
        <family val="2"/>
        <scheme val="minor"/>
      </rPr>
      <t>ia de Cálculo</t>
    </r>
    <r>
      <rPr>
        <b/>
        <sz val="9.5"/>
        <rFont val="Calibri"/>
        <family val="2"/>
        <scheme val="minor"/>
      </rPr>
      <t xml:space="preserve">:
Postos 44hs semanais:  </t>
    </r>
    <r>
      <rPr>
        <sz val="9.5"/>
        <rFont val="Calibri"/>
        <family val="2"/>
        <scheme val="minor"/>
      </rPr>
      <t xml:space="preserve">(R$ 45,12)  *  (22 dias)  - (2%)  </t>
    </r>
    <r>
      <rPr>
        <b/>
        <sz val="9.5"/>
        <rFont val="Calibri"/>
        <family val="2"/>
        <scheme val="minor"/>
      </rPr>
      <t xml:space="preserve">                                                                                                                                                                                                                                                       Postos 12x36hs:             </t>
    </r>
    <r>
      <rPr>
        <sz val="9.5"/>
        <rFont val="Calibri"/>
        <family val="2"/>
        <scheme val="minor"/>
      </rPr>
      <t xml:space="preserve"> (R$ 45,12)  *  (15 dias)  - (2%)</t>
    </r>
  </si>
  <si>
    <t>C) Assistência Médica e Familiar</t>
  </si>
  <si>
    <t>Assistência Médica:</t>
  </si>
  <si>
    <r>
      <rPr>
        <b/>
        <sz val="10"/>
        <color rgb="FF000000"/>
        <rFont val="Calibri"/>
        <family val="2"/>
        <scheme val="minor"/>
      </rPr>
      <t xml:space="preserve">R$ 151,90 (cento e cinquenta e um reais e noventa centavos) </t>
    </r>
    <r>
      <rPr>
        <sz val="10"/>
        <color rgb="FF000000"/>
        <rFont val="Calibri"/>
        <family val="2"/>
        <scheme val="minor"/>
      </rPr>
      <t>mensais sobre cada profissional, conforme Cláusula Décima Quarta da CCT 2020/2020 do SINDESV-DF (Doc. SEI nº 1856257 ).</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</si>
  <si>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(Valor da Assistência Médica) – (Desconto da parte do empregado)                                                                                                                                                                                                            (R$ 151,90) – (R$ 0,00) = R$ 151,90</t>
    </r>
  </si>
  <si>
    <t>D) Assistência Odontológica</t>
  </si>
  <si>
    <t>Assistência Odontológica:</t>
  </si>
  <si>
    <t>R$ 10,33 (dez reais e trinta e três centavos) mensais por profissional, conforme Cláusula Décima Quinta da CCT 2020/2020 do SINDESV-DF (Doc. SEI nº 1856257 ).</t>
  </si>
  <si>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(Valor da Assistência Odontológica) – (Desconto da parte do empregado)                                                                                                                                                                                                            (R 10,33) – (R$ 0,00) = R$ 10,33</t>
    </r>
  </si>
  <si>
    <t>E) Auxílio Doença /  Invalidez:</t>
  </si>
  <si>
    <t>Auxílio Doença/Invalidez:</t>
  </si>
  <si>
    <t>R$ 14,00 (quatorze reais) mensais por profissional, conforme Cláusula Décima Sétima da CCT 2020/2020 do SINDESV-DF (Doc. SEI nº 1856257 ).</t>
  </si>
  <si>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(Valor do Auxílio Doença) – (Desconto da parte do empregado)                                                                                                                                                                                                            (R$ 14,00) – (R$ 0,00) = R$ 14,00</t>
    </r>
  </si>
  <si>
    <t>F) Seguro de Vida:</t>
  </si>
  <si>
    <t>Seguro de vida:</t>
  </si>
  <si>
    <t>R$ 18,16 (dezoito reais e dezesseis centavos) mensais por profissional, conforme Cláusula Décima Sexta da CCT 2020/2020 do SINDESV-DF (Doc. SEI nº 1856257 ).</t>
  </si>
  <si>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(Valor do Seguro de Vida) – (Desconto da parte do empregado)                                                                                                                                                                                                            (R$ 18,16) – (R$ 0,00) = R$ 18,16</t>
    </r>
  </si>
  <si>
    <t>MÓDULO 3: Provisão para Rescisão:</t>
  </si>
  <si>
    <t>AVISO PRÉVIO INDENIZADO</t>
  </si>
  <si>
    <t xml:space="preserve"> (CF, art. 7º, inciso XXI e CLT, arts. 477 e 487 a 491 - Trata de valor devido ao empregado no caso de o empregador rescindir o contrato sem justo motivo e sem lhe conceder aviso prévio. De acordo com as estatísticas desta empresa, menos de 1% do seu pessoal é demitido pelo empregador, antes do término do contrato de trabalho logo a provisão representa: Memória de Cálculo:  ((1/12)x 0,01) x 100 =0,08 %.</t>
  </si>
  <si>
    <t>INCIDÊNCIA DO FGTS SOBRE O AVISO PRÉVIO INDENIZADO</t>
  </si>
  <si>
    <t>FGTS 8% x o item A do módulo 3.</t>
  </si>
  <si>
    <t>MULTA DO FGTS DO AVISO PRÉVIO INDENIZADO</t>
  </si>
  <si>
    <t>Estima-se  que  5%  do  pessoal  é  demitido  antes  do  término  do contrato.  Assim,  o  cálculo  é:  (0,05x0,4)*0,08  =  0,16%,  onde: 5%  corresponde  à  estatística  de  demissões  antes  do  término; 40%  é  a  multa  do  FGTS;  8%  é  a  alíquota  do  FGTS.  Fonte: NOTA TÉCNICA 001/2013 do CJF e Acórdão TCU - Plenário nº 1513/2013.
A  partir  de  1º/1/2020,  foi  extinta  a  contribuição  social  devida pelos  empregadores  em  caso  de  despedida  de  empregado  sem justa causa, que corresponde à alíquota de 10% (dez por cento) sobre  o  montante  de  todos  os  depósitos  devidos,  referente  ao Fundo  de  Garantia  do  Tempo  de  Serviço  (FGTS).  A  Lei  n.º 13.932/2019, em seu parágrafo 12, extinguiu essa contribuição, conforme transcrição a seguir:
[...] Art. 12. A partir de 1º de janeiro de 2020, fica extinta a contribuição social instituída por meio do art. 1º da Lei Complementar nº 110, de 29 de junho de 2001.</t>
  </si>
  <si>
    <t>AVISO PRÉVIO TRABALHADO</t>
  </si>
  <si>
    <t>Corresponde  ao  valor  repassado  para  pagar  ao  funcionário enquanto este não trabalha, pois ele percebe o salário referente a 30  dias  de  serviço,  dos  quais  07  (sete)  ele  tem  direito  a ausentar‐se   para   procurar   outro   emprego   ou,   se   preferir, trabalhar   duas   horas   a   menos   por   dia   durante   o   mês.   / [(100%/30) x 7]/ 12 = 1,94% Onde: 100% = salário integral / 30 = número de dias no mês / 7 = número de dias de aviso prévio a que  o  empregado  tem  direito  de  se  ausentar  /  12  =  número de meses no ano /Fonte: Acórdão TCU - Plenário nº 1513/2013, Acórdão  TCU  -  Plenário  nº  1904/2007,  e  Acórdão  TCU  – Plenário nº 3006/2010. Segundo o TCU esse percentual é o máximo a ser admitido para cotação nas planilhas de custos e formação de preços. Porém, em razão da CCT da Categoria, prever que os empregados terão direito a continuidade na contratação dos serviços, é quase nula a demissão dos empregados terceirizados nessa situação. Logo a provisão desta empresa representa: [(100%/30) x 7]/ 12 = 1,94%*2% =  0,04 %.</t>
  </si>
  <si>
    <t>INCIDÊNCIA DO SUBMÓDULO 2.2 SOBRE O AVISO PRÉVIO TRABALHADO</t>
  </si>
  <si>
    <t>Total do Submódulo 2.2 x o item D do submódulo 3.</t>
  </si>
  <si>
    <t>MULTA DO FGTS NAS RESCISÕES SEM JUSTA CAUSA</t>
  </si>
  <si>
    <t>Multa do FGTS nas rescisões sem justa causa -  (Trata da multa de 40% que o empregado tem direito no caso das seguintes rescisões: 1) Rescisão Atencipada, pelo empregador, do contrato de trabalho; 2) Despedida sem justa causa, pelo empregador; 3) Despedida sem justa causa pelo empregador; 4) Rescisão indireta pelo empregador) e da Multa de 20% nas seguintes resciões: 1) Rescisão por culpa recíproca; 2) Rescisão por força maior; 3) Acordo empregado / empregador; e não há a aplicação de multa nas seguintes rescisões:  1) Rescisão do contrato de trabalho por falecimento do empregado; 2) Despedida por justa causa pelo empregador; 3) Extinção normal do contrato de trabalho por prazo determinado; 3) Rescisão antecipada, pelo empregado, do contrato de trabalho; 4) Rescisão contratual a pedido do empregado.  Portanto, apesar da IN 05 prever o percentual da multa de 40% sobre o Aviso Prévio Trabalhado, na verdade essa multa se dá sobre os depósitos do FGTS nos casos de rescisão sem justa causa, conforme justificado acima, vimos que a realidade referente ao percentual dessa multa é outro, já que não são todos os tipos de rescisões que prevêm a multa no percentual de 40%, como vimos, existem a multa de 20% e também existe a rescisão sem a previsão de multa. Desta forma,  tendo em vista que a média de 84,70% dos empregados desta empresa são demitidos fazendo juz a multa de 40%,  a provisão para esse item representa: (0,08*0,4)*0,847*(1+5/56+5/56+(1/3*5/56)) = 3,28%</t>
  </si>
  <si>
    <t xml:space="preserve">JUSTIFICATIVA: SOBRE O AVISO PRÉVIO INDENIZADO: Esse trata de valor devido ao empregado no caso de o empregador rescindir o contrato sem justo motivo e sem lhe conceder o prazo para o cumprimento do aviso prévio. 
Antes de mais nada, vale ressaltar que na atual conjuntura econômica de nosso País, o percentual de casos em que esta e qualquer outra empresa de qualquer ramo econômico ofereça a indenização de aviso prévio é quase nula, ocorrendo em casos extremamente raros, já que dispor de um salário integral, acrescidos das demais verbas trabalhistas sem a compensatória prestação de serviços, onera demais o passivo trabalhista de qualquer empresa, prejudicando assim a operacionalização dos serviços, bem como sua saúde financeira.
Além do mais, com o advindo da reforma trabalhista em 2017, pela Lei 13.467/2017, se regularizou uma prática já corriqueira entre empregado e empregador, onde ambos estabeleciam um acordo para dispensa do empregado, já que o empregado queria sair da empresa mas não queria perder direitos, a reforma veio com objetivo de diminuir o valor das verbas trabalhistas e assim possibilitar a dispensa já que existia interesse recíproco.
O artigo 484-A dispõe que “o contrato de trabalho poderá ser extinto por acordo entre empregado e empregador (…)”.
Tendo em vista a nova previsão no diploma trabalhista, o aviso prévio se indenizado será pago pela metade e a indenização sobre o saldo do FGTS de 20%, sendo limitado a 80% do valor do depósito (artigo 484-A, § 1º da CLT) as demais verbas serão pagas da mesma forma como anterior a nova Lei, indenização fundiária, o saldo de salário (valor devido pelos dias trabalhados no mês da dispensa); o 13º salário proporcional aos meses trabalhados no respectivo ano; e férias vencidas e/ou proporcionais acrescidas do terço constitucional. Não sendo permitido o recebimento do seguro desemprego. (Artigo 484-A, § 2º da CLT).
Ou seja, além de ser remota a dispensa do empregado a fim de pagamento do aviso prévio indenizado, a Nova Lei Trabalhista ainda prevê que tal prática seja de comum acordo entre o emprego e empregador, razão pela qual, a provisão de 1% dos empregados nessa situação ser suficiente para cumprir com o exigido no edital de licitação.
D - SOBRE O AVISO PRÉVIO TRABALHADO: Como descrito na justificativa, a CCT da Categoria prevê em sua Cláusula Vigésima Nona o seguinte:
"POLÍTICAS DE MANUTENÇÃO DO EMPREGO
CLÁUSULA TRIGÉSIMA SEXTA - INCENTIVO À CONTINUIDADE
Fica pactuado que as empresas que sucederem outras na prestação do mesmo serviço, em razão de nova licitação pública ou novo contrato administrativo ou particular e/ou contrato emergencial, ficarão obrigadas a contratar os empregados da empresa anterior respeitando todas as estabilidades legais, inclusive as gestantes; membros de CIPA; e todos os demais funcionários que na data do desligamento possua qualquer tipo de estabilidade legal e/ou funcional, sem descontinuidade quanto ao pagamento dos salários e a prestação dos serviços, limitado ao quantitativo de empregados do novo contrato, obrigando as empresas que perderem o contrato a comunicar o fato ao sindicato laboral, inclusive por correspondência eletrônica, até 20 (vinte) dias antes do final do mesmo.
.............
§ 3º - Item IV - A empresa que está perdendo o contrato de prestação de serviços fica desobrigada do pagamento do aviso prévio e suas respectivas projeções, conforme previsto  no art. 12º das Leis nº 13.932/2019, obrigando-se, entretanto, a pagar as demais verbas rescisórias, sendo que a multa fundiária (art. 4º Decreto nº 99.684/90), será calculada no percentual de 40% do FGTS devido ao empregado. "
Além do mais, o edital em seu subitem 29.12 do TR do Edital, menciona que em caso a CCT da Categoria preveja a cláusula de Incentivo a Continuidade, a mesma será obrigada a contratar todos os empregados da empresa anterio. Sendo assim, caso essa empresa venha a perder o contrato futuramente, outra empresa passará a ser sucessora dos serviços e estará obrigada a contratar todos os empregados lotados na frente de serviços, sendo que esta não será obrigada a pagar o aviso prévio trabalhado, conforme descrito na Cláusula da CCT acima, razão pela qual, a previsão de 2% para esse custo é mais do que suficiente para cumprir com o exigido no edital em referência.
</t>
  </si>
  <si>
    <r>
      <rPr>
        <b/>
        <sz val="9.5"/>
        <rFont val="Calibri"/>
        <family val="2"/>
        <scheme val="minor"/>
      </rPr>
      <t>MÓDULO 4 - Custo de Reposição do Profissional Ausente
Submódulo 4.1 – Substituto nas Ausências Legais:</t>
    </r>
  </si>
  <si>
    <t>Submódulo 4.1 – Substituto nas Ausências Legais</t>
  </si>
  <si>
    <t>SUBSTITUTO NA COBERTURA DE FÉRIAS</t>
  </si>
  <si>
    <t>A CF,  no  art.  7°,  XVII,  dispõe  que  é  direito  do  trabalhador  o "gozo de férias anuais remuneradas com pelo menos um terço a mais  do  que  o  salário  normal".  Arts.  129,  130,  142  e  143, da  CLT.  Cálculo:  percentual  estabelecido  pelo  Anexo  XII  da Instrução  Normativa  MPDG  n.º  5/2017.  Como  convencionado pela   Administração,   a   rubrica   Férias   no   Submódulo   2.1B permanecerá zerada; Assim, no Submódulo 4.1A, o percentual respectivo  será  integral,  ou  seja,  de  8,33%.  É  descabida  a reformulação da PCFP quanto aos citados Submódulos, no caso de prorrogação contratual - Memória de cálculo = 1/12*100= 8,33%/12=0,93%</t>
  </si>
  <si>
    <r>
      <rPr>
        <sz val="9.5"/>
        <rFont val="Calibri"/>
        <family val="2"/>
        <scheme val="minor"/>
      </rPr>
      <t>SUBSTITUTO NA COBERTURA
DE AUSÊNCIAS LEGAIS</t>
    </r>
  </si>
  <si>
    <t xml:space="preserve">Art.   473   da   CLT   descreve   as   motivações   de   faltas   de empregados   ao   serviço   sem   que   haja   prejuízo   do   salário correspondente. São eles: por morte do cônjuge, ascendente ou descendente;   registro   de   nascimento   de   filho;     casamento; doação  de  sangue;  alistamento  eleitoral;   exigência  do  serviço militar.   Arts.   473,   I   a   IX,   e   822   da   CLT.   MEMÓRIA DE CÁLCULO: (2,96d/30d/12m)x3%x100 = 0,02% </t>
  </si>
  <si>
    <t>SUBSTITUTO NA COBERTURA DE LICENÇA PATERNIDADE</t>
  </si>
  <si>
    <t>Art. 7°, XIX, da CF, combinado com o art. 10, § 1º, dos Atos das  Disposições  Constitucionais  Transitórias  (ADCT).  Quanto ao  cálculo,  utilizam-se  os  dados  estatísticos  de  1,5%  que  se tornam   pais.   [(5/30)   /   12   x   0,015]   x   100.   O   cálculo   do determinado  item  deverá  levar  em  consideração  a  Base  de Cálculo  para  o  Custo  de  Reposição  do  Profissional  Ausente (BCCPA = Remuneração + 13° Salário + Férias + 1/3 Férias). Cálculo: (((BCCPA/30)*5DIAS)/12)*1,5%.</t>
  </si>
  <si>
    <r>
      <rPr>
        <sz val="9.5"/>
        <rFont val="Calibri"/>
        <family val="2"/>
        <scheme val="minor"/>
      </rPr>
      <t>SUBSTITUTO NA COBERTURA
DE AUSÊNCIA POR ACIDENTE DE TRABALHO</t>
    </r>
  </si>
  <si>
    <t>(O art. 27 do Decreto nº 89.312/84 obriga o empregador a assumir o ônus financeiro pelo prazo de 15 dias, no caso de acidente de trabalho previsto no art. 131 da CLT. De acordo com estatísticas dessa empresa em média menos de  1% dos empregados se acidentam no trabalho no ano. Assim a provisão corresponde a: MEMÓRIA DE CÁLCULO:(15 ÷ 30 ÷ 12 x 0,01 x 100 = 0,04%): 0,04%</t>
  </si>
  <si>
    <r>
      <rPr>
        <sz val="9.5"/>
        <rFont val="Calibri"/>
        <family val="2"/>
        <scheme val="minor"/>
      </rPr>
      <t>SUBSTITUTO NA COBERTURA
DE AFASTAMENTO MATERNIDADE</t>
    </r>
  </si>
  <si>
    <t xml:space="preserve"> (Conforme arts. 6º e 7º, inciso XVIII, 201, inciso II e 203, inciso I da CF; Lei Ordinária Federal nº 8.123/91, arts. 71 a 73. A licença maternidade tem duração de 120 dias. O cálculo deve considerar 4/12 de adicional de 1/3 de férias e 4/12 de 13º salário da profissional substituta. De acordo com as estatísticas desta empresa  31,00% dos profissionais que trabalham como brigadistas são mulheres e que a média de 10% dessas brigadistas recebem o benefício Cálculo: ((1 ÷ 12 x 4) + (1,33 ÷ 12 x 4)) ÷ 12 x 0,31) = 0,02%</t>
  </si>
  <si>
    <t>SUBSTITUTO NA COBERTURA
DE OUTRAS AUSÊNCIAS</t>
  </si>
  <si>
    <t>TOTAL DAS AUSÊNCIAS LEGAIS</t>
  </si>
  <si>
    <t>---</t>
  </si>
  <si>
    <r>
      <rPr>
        <b/>
        <sz val="9.5"/>
        <rFont val="Calibri"/>
        <family val="2"/>
        <scheme val="minor"/>
      </rPr>
      <t xml:space="preserve">Submódulo 4.2 – Substituto na Intrajornada
A) Substituto na cobertura de Intrajornada - </t>
    </r>
    <r>
      <rPr>
        <b/>
        <u/>
        <sz val="9.5"/>
        <color rgb="FF0000FF"/>
        <rFont val="Calibri"/>
        <family val="2"/>
        <scheme val="minor"/>
      </rPr>
      <t>DEVE SER CONSIDERADA 1</t>
    </r>
    <r>
      <rPr>
        <b/>
        <sz val="9.5"/>
        <color rgb="FF0000FF"/>
        <rFont val="Calibri"/>
        <family val="2"/>
        <scheme val="minor"/>
      </rPr>
      <t xml:space="preserve"> (</t>
    </r>
    <r>
      <rPr>
        <b/>
        <u/>
        <sz val="9.5"/>
        <color rgb="FF0000FF"/>
        <rFont val="Calibri"/>
        <family val="2"/>
        <scheme val="minor"/>
      </rPr>
      <t>UMA) HORA NO CUSTO DOS POSTOS 12X36</t>
    </r>
    <r>
      <rPr>
        <b/>
        <sz val="9.5"/>
        <color rgb="FF0000FF"/>
        <rFont val="Calibri"/>
        <family val="2"/>
        <scheme val="minor"/>
      </rPr>
      <t xml:space="preserve"> </t>
    </r>
    <r>
      <rPr>
        <b/>
        <u/>
        <sz val="9.5"/>
        <color rgb="FF0000FF"/>
        <rFont val="Calibri"/>
        <family val="2"/>
        <scheme val="minor"/>
      </rPr>
      <t>DIURNOS E NOTURNOS</t>
    </r>
    <r>
      <rPr>
        <b/>
        <sz val="9.5"/>
        <rFont val="Calibri"/>
        <family val="2"/>
        <scheme val="minor"/>
      </rPr>
      <t>.</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</si>
  <si>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((Salário   Base   +   Adicional   de   Periculosidade   +   Adicional   de   Insalubridade   + Adicional Noturno + Hora Noturna Adicional + Adicional de Hora Extra)/Jornada Mensal)  *  (Adicional  de  Hora  Extra)  *  (Nº  de  Horas  do  intervalo)  *  (Dias trabalhados)</t>
    </r>
  </si>
  <si>
    <r>
      <rPr>
        <u/>
        <sz val="9.5"/>
        <rFont val="Calibri"/>
        <family val="2"/>
        <scheme val="minor"/>
      </rPr>
      <t>Posto 12x 36hs Diurno</t>
    </r>
    <r>
      <rPr>
        <sz val="9.5"/>
        <rFont val="Calibri"/>
        <family val="2"/>
        <scheme val="minor"/>
      </rPr>
      <t xml:space="preserve">:
</t>
    </r>
    <r>
      <rPr>
        <b/>
        <sz val="9.5"/>
        <rFont val="Calibri"/>
        <family val="2"/>
        <scheme val="minor"/>
      </rPr>
      <t>((R$ 3.371,85)  /  (220hs)  *  150% *  (1h)  *  (15dias) = R$ 344,85</t>
    </r>
  </si>
  <si>
    <r>
      <rPr>
        <u/>
        <sz val="9.5"/>
        <rFont val="Calibri"/>
        <family val="2"/>
        <scheme val="minor"/>
      </rPr>
      <t>Posto 12x 36hs Diurno</t>
    </r>
    <r>
      <rPr>
        <sz val="9.5"/>
        <rFont val="Calibri"/>
        <family val="2"/>
        <scheme val="minor"/>
      </rPr>
      <t xml:space="preserve">:
</t>
    </r>
    <r>
      <rPr>
        <b/>
        <sz val="9.5"/>
        <rFont val="Calibri"/>
        <family val="2"/>
        <scheme val="minor"/>
      </rPr>
      <t>((R$ 3.371,85)  /  (220hs)  *  150% *  (1h)  *  (15dias) = R$ 382,35</t>
    </r>
  </si>
  <si>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rFont val="Calibri"/>
        <family val="2"/>
        <scheme val="minor"/>
      </rPr>
      <t xml:space="preserve">: art. 71, §4;
Súmula nº </t>
    </r>
    <r>
      <rPr>
        <u/>
        <sz val="9.5"/>
        <color rgb="FF0000ED"/>
        <rFont val="Calibri"/>
        <family val="2"/>
        <scheme val="minor"/>
      </rPr>
      <t>437</t>
    </r>
    <r>
      <rPr>
        <sz val="9.5"/>
        <rFont val="Calibri"/>
        <family val="2"/>
        <scheme val="minor"/>
      </rPr>
      <t xml:space="preserve">, TST
OBS: Preferencialmente, o intervalo deverá ser usufruído pelo empregado. Caso não seja possível, e, desde que haja expressa previsão no edital poderá ser cotado o respectivo encargo.
</t>
    </r>
    <r>
      <rPr>
        <b/>
        <sz val="9.5"/>
        <rFont val="Times New Roman"/>
        <family val="1"/>
      </rPr>
      <t/>
    </r>
  </si>
  <si>
    <t>MÓDULO 5: Insumos Diversos</t>
  </si>
  <si>
    <t>A) Uniforme:</t>
  </si>
  <si>
    <t>MEMÓRIA DE CÁLCULOS UNIFORMES</t>
  </si>
  <si>
    <t>Peças</t>
  </si>
  <si>
    <t>un</t>
  </si>
  <si>
    <t>Qtde Anual a ser fornecida</t>
  </si>
  <si>
    <t>Vida útil estimada (meses)</t>
  </si>
  <si>
    <t>Custo unitário</t>
  </si>
  <si>
    <t>Custo anual</t>
  </si>
  <si>
    <t>Custo Mensal</t>
  </si>
  <si>
    <t>Sapato</t>
  </si>
  <si>
    <t>par</t>
  </si>
  <si>
    <t>Calça</t>
  </si>
  <si>
    <t>unidade</t>
  </si>
  <si>
    <t xml:space="preserve">Camisa </t>
  </si>
  <si>
    <t>Jaqueta de frio</t>
  </si>
  <si>
    <t>Capa de chuva</t>
  </si>
  <si>
    <t>Boné com emblema</t>
  </si>
  <si>
    <t>Meia</t>
  </si>
  <si>
    <t>Cinto de couro</t>
  </si>
  <si>
    <t>TOTAL UNIFORME DO POSTO</t>
  </si>
  <si>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((Preço do Uniforme) * (Quantidade Anual)) / 12</t>
    </r>
  </si>
  <si>
    <t>B) Materiais:</t>
  </si>
  <si>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Não  irão  compor  a  Planilha  de  Custos  e  Formação  de  Preços,  pois  serão  pagos pelo CONTRATANTE apenas os materiais efetivamente consumidos.</t>
    </r>
  </si>
  <si>
    <t>B) Equipamentos</t>
  </si>
  <si>
    <t xml:space="preserve">EQUIPAMENTOS </t>
  </si>
  <si>
    <t>Descrição</t>
  </si>
  <si>
    <t>UN</t>
  </si>
  <si>
    <t>Qtde Annual a ser fornecida</t>
  </si>
  <si>
    <t>Vida útil estimada</t>
  </si>
  <si>
    <t>Valor anual</t>
  </si>
  <si>
    <t>Revólver calibre .38, comprimento do cano de 5 a 6 polegadas, capacidade mínima de 6 tiros, 6 raias, O revólver deverá ser novo.</t>
  </si>
  <si>
    <t>Colete balístico nível de proteção III-A, resistente a disparos de projéteis calibre 44 Mag e 9 mm, de forma que permita a proteção das partes vitais e que obedeça as normas exigidas pelo Exército Brasileiro, com proteção frontal (torax e abdômen), dorsal (costas) e lateral do tronco, de forma que proteja as áreas vitais e que atendas os requisitos balísticos da norma NIJ Stander 010104.</t>
  </si>
  <si>
    <t>Capa para colete balístico confeccionado em tecido RIP STOP CORDURA, na forma de envelope onde serão acondicionados os painéis balísticos, devendo conter regulagem de altura realizada por velcros alta aderência posicionado na altura dos ombros, bem como regulagem laterais para permitir um melhor ajuste ao tórax do usuário.</t>
  </si>
  <si>
    <t>Bastão antitumulto de polímero ou material similar (vedado o de madeira), comprimento 58 cm, tipo tonfa, formato anatômico, na cor preta, cabo sulcos transversais toda extensão.</t>
  </si>
  <si>
    <t>Cinto tático com porta bastão antitumulto e baleiro, com regulagem em velcro, em tecido RIP STOP, confeccionado em material durável em alta resistência, com execelente acabamento e na cor preta</t>
  </si>
  <si>
    <t>Munição para calibre .38, nova, conforme modelo do revólver e um jogo completo sobressalente para cada arma</t>
  </si>
  <si>
    <t>Apito de metal com bolinha de material levíssimo (cortiça ou isopor - não podendo encharcar em contato com a água), emissão de aproximadamente 115 Db de som, com fiel profissional para apito, confeccionado em naylon trançado, medindo aproximadamente 1 metro de comprimento.</t>
  </si>
  <si>
    <t>Lanterna (incluindo as pilhas) de tipo utilitário, resistente à água e a pequenas quedas, de dimensões e potência adequadas à execução do serviço em cada posto;</t>
  </si>
  <si>
    <t>Coldre para revólver cal. 38, interno, de cintura, com presilha ou passador de cinta, em cordura.</t>
  </si>
  <si>
    <t>Livro de ocorrência tipo ata em margens e acabamento em capa dura</t>
  </si>
  <si>
    <t>Total do Conjunto</t>
  </si>
  <si>
    <t>Total do Conjunto por vigilante</t>
  </si>
  <si>
    <r>
      <rPr>
        <b/>
        <sz val="11"/>
        <rFont val="Calibri"/>
        <family val="2"/>
        <scheme val="minor"/>
      </rPr>
      <t xml:space="preserve">MÓDULO 6: Custos Indiretos, Tributos e Lucro
</t>
    </r>
    <r>
      <rPr>
        <sz val="11"/>
        <rFont val="Calibri"/>
        <family val="2"/>
        <scheme val="minor"/>
      </rPr>
      <t>Empresa Optante pelo Lucro Real</t>
    </r>
  </si>
  <si>
    <t>A) Custos Indiretos: 0,50%</t>
  </si>
  <si>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(Módulo 1 + Módulo 2 + Módulo 3 + Módulo 4 + Módulo 5) * Percentual de Custos Indiretos</t>
    </r>
  </si>
  <si>
    <r>
      <rPr>
        <b/>
        <u/>
        <sz val="10"/>
        <color theme="1"/>
        <rFont val="Calibri"/>
        <family val="2"/>
        <scheme val="minor"/>
      </rPr>
      <t>CUSTOS INDIRETOS:</t>
    </r>
    <r>
      <rPr>
        <sz val="10"/>
        <color theme="1"/>
        <rFont val="Calibri"/>
        <family val="2"/>
        <scheme val="minor"/>
      </rPr>
      <t xml:space="preserve">
Dentre esses itens temos os relativos aos custos indiretos, que compreende todas as despesas não alocáveis diretamente à execução dos serviços, são custos decorrentes, por conseguinte, das necessidades e obrigações do executor.
Enquanto os custos diretos são objetivos e vinculados à especificação dos serviços e suas quantificações, os indiretos são subjetivos e associados ao executor, às suas necessidades operacionais (administração central, seguros, garantia, caixa), de rentabilidade e outras obrigações comerciais.
Toda empresa possui uma estrutura administrativa com custo e dimensão próprios. A sua representação no LDI de um contrato é definida estabelecendo em que proporção esse custo é apropriado como despesa de um serviço. Pode ser de forma integral, quando a empresa executa apenas um serviço, ou de forma parcial, na hipótese de rateio entre vários serviços executados pela empresa.
Vale lembrar que esses custos variam entre as empresas pois depende da gestão financeira de cada uma, além de serem rateados entre os demais contratos firmados, razão pela qual não devem ser estipulados de forma obrigatória.
Finalmente, considerando que este item será destinado as despesas relacionadas à administração central, temos a informar que esta empresa além de estar situada em Brasília de forma sólida há muitos anos, estar sediada em imóvel próprio do seu grupo econômico financeiro e tais custos serem destinados a pagar somente despesas administrativas, tais como água, luz, telefone, IPTU, folha de pagamento do pessoal do escritório, material de expediente, despesas financeiras, dentre outros e finalmente, que os mesmos são rateados entre os demais contratos firmados por esta empresa, o percentual informado em sua planilha de custos é suficiente para a gestão administrativa e operacional de forma eficiente e competente.
</t>
    </r>
  </si>
  <si>
    <t>B) Lucro: 0,25%</t>
  </si>
  <si>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(Módulo  1  +  Módulo  2  +  Módulo  3  +  Módulo  4  +  Módulo  5  +  Custos  Indiretos)  * Percentual de Lucro</t>
    </r>
  </si>
  <si>
    <r>
      <rPr>
        <b/>
        <sz val="10"/>
        <color theme="1"/>
        <rFont val="Calibri"/>
        <family val="2"/>
        <scheme val="minor"/>
      </rPr>
      <t>LUCRO:</t>
    </r>
    <r>
      <rPr>
        <sz val="10"/>
        <color theme="1"/>
        <rFont val="Calibri"/>
        <family val="2"/>
        <scheme val="minor"/>
      </rPr>
      <t xml:space="preserve">
O lucro é um conceito econômico que pode ser descrito de diversas formas para representar uma remuneração alcançada em consequência do desenvolvimento de uma determinada atividade econômica. 
Ele complementa a formação do Preço de Venda, sem que possa ser considerada como item de custo, ele é, na verdade, uma parcela destinada a remunerar os fatores da produção do Executor que intervêm no serviço, tais como: custo de oportunidade do capital aplicado na operacionalização dos serviços; capacidade administrativa e gerencial para a administração do contrato e a condução do serviço, representado pelas estruturas organizacionais da empresa e pelo conjunto de normas e procedimentos de que se utiliza; conhecimento tecnológico adquirido através de experiências pregressas e pelo investimento em formação, treinamento de pessoal e compra de know how e, finalmente, o risco do negócio. A margem é, assim, um excedente sobre o custo orçado, através do qual o Executor buscará realizar seu Lucro.
Dependendo da escolha da estratégia comercial, a empresa pode ser bem agressiva na proposta de preços. Quanto menor for a taxa percentual ofertada, maior será a competitividade da proposta.
O ordenamento jurídico vigente no país, fundado nos princípios da livre iniciativa e da livre concorrência, assegura à empresa a liberdade para agir e conquistar mercados, para estabelecer os preços pelos quais vai vender seus produtos e serviços, sendo vedados o abuso do direito, o uso arbitrário da condição de agente econômico e a obtenção de vantagens ilícitas, na medida em que impõe a toda a coletividade condições que lhe são absolutamente desfavoráveis.
O que é esperado comumente na oferta do lucro para o valor de um contrato é a utilização da expectativa de retorno de um projeto para a empresa, comparada com investimentos alternativos e com a oportunidade do contrato pretendido. Para esse resultado esperado, normalmente é realizada uma avaliação financeira, de acordo com a condição da empresa, avaliação financeira essa que resultou no percentual apresentado, percentual esse compatível com qualquer outro investimento oferecido no mercado financeiro.
Da mesma maneira que os custos indiretos, esse também é um custo que varia de empresa para empresa e depende principalmente da estratégica comercial de cada uma, sendo que a estratégia tomada por esta empresa na cotação do percentual de lucro ofertado ser suficiente para sua manutenção e saúde financeira e estar além de qualquer outra taxa de investimento praticada atualmente no mercado financeiro.
</t>
    </r>
  </si>
  <si>
    <r>
      <t xml:space="preserve">C) Tributos: </t>
    </r>
    <r>
      <rPr>
        <sz val="9.5"/>
        <rFont val="Calibri"/>
        <family val="2"/>
        <scheme val="minor"/>
      </rPr>
      <t>8,65%, sendo 3% de Cofins, 0,65% de Pis e 5% de ISS</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</si>
  <si>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(Módulo  1  +  Módulo  2  +  Módulo  3  +  Módulo  4  +  Módulo  5  +  Custos  Indiretos  + Lucro) / (1 – Soma dos percentuais de tributos)</t>
    </r>
  </si>
  <si>
    <r>
      <rPr>
        <b/>
        <sz val="10"/>
        <color theme="1"/>
        <rFont val="Calibri"/>
        <family val="2"/>
        <scheme val="minor"/>
      </rPr>
      <t xml:space="preserve">TRIBUTOS - </t>
    </r>
    <r>
      <rPr>
        <b/>
        <sz val="10"/>
        <color rgb="FFFF0000"/>
        <rFont val="Calibri"/>
        <family val="2"/>
        <scheme val="minor"/>
      </rPr>
      <t>EMPRESA OPTANTE PELO LUCRO REAL:</t>
    </r>
    <r>
      <rPr>
        <sz val="10"/>
        <color theme="1"/>
        <rFont val="Calibri"/>
        <family val="2"/>
        <scheme val="minor"/>
      </rPr>
      <t xml:space="preserve">
declara, para os devidos fins, de acordo com o previsto no item 6.1.1.7, que será adotado durante a execução do contrato, o Regime de Tributação pelo Lucro Real.
Declaro ainda, que as empresas de vigilância regulamentadas pela Lei 7.102/83 permaneceram com as alíquotas de 1,65% para PIS e 0,65% para COFINS, independentemente de serem optantes pelo Lucro Real ou Presumido, não sendo possível o aproveitamento de créditos tributários nesse caso, conforme dispositivo de Lei descrito abaixo:
Lei 10.637/2002
Art. 8º. Permanecem sujeitas às normas da legislação da contribuição para o PIS/Pasep, vigentes anteriormente a esta Lei, não se lhes aplicando as disposições dos arts. 1º. a 6º.:
I – as pessoas jurídicas referidas nos §§ 6º., 8º. e 9º. do art. 3º. da Lei no 9.718, de 27 de novembro de 1998 (parágrafos introduzidos pela Medida Provisória no. 2.158-35, de 24 de agosto de 2001), e Lei no. 7.102, de 20 de junho de 1983;
Lei 10.833/03
Art. 10. Permanecem sujeitas às normas da legislação da COFINS, vigentes anteriormente a esta Lei, não se lhes aplicando as disposições dos arts. 1º. a 8º.:
I - as pessoas jurídicas referidas nos §§ 6º., 8º. e 9º. do art. 3º. da Lei no 9.718, de 1998, e na Lei N.  7.102, de 20 de junho de 1983;
Segue em anexo a Planilha de apuração do percentual médio de PIS e COFINS dos últimos 12 (doze) meses para fins de comprovação das alíquotas recolhidas por esta empresa, bem como os documentos ficais encaminhados à Receita Federal.</t>
    </r>
  </si>
  <si>
    <t>Esta empresa está calculando  os valores referentes a depreciação dos equipamentos depreciáveis que serão colocados a disposição do Órgão para a perfeita execução dos serviços, já que não é correto cobrar o rateio do custo de aquisição do equipamento, se assim o fizesse, seria o caso de ter que deixá-lo à disposição do Órgão ou transferir sua propriedade após 1 ano, o que não é o caso, já que os equipamentos listados abaixo são de propriedade desta empresa. Sendo assim, a memória de cálculos para esse item é:</t>
  </si>
  <si>
    <t>Memória de Cálculos: (Custo Unitário x Qtde) * (100% - Depreciação) / (Vida útil * 12) = Valor Mensal</t>
  </si>
  <si>
    <t>Vida útil em anos</t>
  </si>
  <si>
    <t>Depreciação</t>
  </si>
  <si>
    <t xml:space="preserve">  </t>
  </si>
  <si>
    <t>EQUIPAMENTOS</t>
  </si>
  <si>
    <t xml:space="preserve">Munições letais de primeiro uso para revólver calibre 38. </t>
  </si>
  <si>
    <t>Cinto tático com coldre para revólver calibre 38, com porta balística para a munição correspondente, com passador de cinto e trava de segurança, e porta tonfa.</t>
  </si>
  <si>
    <r>
      <t xml:space="preserve">Colete balístico - </t>
    </r>
    <r>
      <rPr>
        <sz val="7"/>
        <color rgb="FF000000"/>
        <rFont val="Roboto"/>
      </rPr>
      <t>modelo social, discreto, com proteção frontal, dorsal e lateral, com Proteção Nível II-A, com emblema da empresa, sem acessórios  (sem  bolso), dentro das especificações NIJ 010104 ou superior, com fibras de aramida e polietileno, ou com material semelhante, com uma capa a mais cada.</t>
    </r>
  </si>
  <si>
    <r>
      <t xml:space="preserve">Cofre </t>
    </r>
    <r>
      <rPr>
        <sz val="7"/>
        <color rgb="FF000000"/>
        <rFont val="Roboto"/>
      </rPr>
      <t>com segredo mecânico e chave para guarda de armamentos, medindo no mínimo A280mm x L395mm x P270mm.</t>
    </r>
  </si>
  <si>
    <r>
      <t xml:space="preserve">Capa  de  colete  - </t>
    </r>
    <r>
      <rPr>
        <sz val="7"/>
        <color rgb="FF000000"/>
        <rFont val="Roboto"/>
      </rPr>
      <t xml:space="preserve"> feita  em  material  resistente,  na  cor  preta,  com  ajustes por velcro  nos  ombros e  laterais  e  suporte  para  Placas Balísticas. A capa deve possuir porta celular elástico com fechamento em velcro, fiel com suporte em velcro, dois bolsos peitorais embutidos com zíper, dois porta canetas junto ao zíper frontal, velcro para tarjeta e distintivo na parte frontal, e para tarjeta na parte traseira, coldre frontal com fechamento em velcro, 3 (três) porta carregadores para pistola com fechamento em velcro, porta objetos com fechamento em velcro, porta algemas com fechamento em velcro, ajuste de tamanho com velcro e suporte com fechos tipo "Tic-Tac" na cintura, e com velcro nos ombros e fitas de acabamento em nylon.</t>
    </r>
  </si>
  <si>
    <t>Periodicidade</t>
  </si>
  <si>
    <t>Papel/Lapis/Caneta/</t>
  </si>
  <si>
    <t>Impressora/Toner/Computador/Mesa/ Pen Drive e outros necessarios a execução do serviços</t>
  </si>
  <si>
    <t>FUNDAÇÃO OSWALDO CRUZ</t>
  </si>
  <si>
    <t>PREGÃO ELETRÔNICO  N° 90012/2024</t>
  </si>
  <si>
    <r>
      <t xml:space="preserve">A empresa </t>
    </r>
    <r>
      <rPr>
        <b/>
        <sz val="12"/>
        <color rgb="FF000000"/>
        <rFont val="Arial Narrow"/>
        <family val="2"/>
      </rPr>
      <t>VIPPIM VIGILÂNCIA E SEGURANÇA LTDA</t>
    </r>
    <r>
      <rPr>
        <sz val="12"/>
        <color rgb="FF000000"/>
        <rFont val="Arial Narrow"/>
        <family val="2"/>
      </rPr>
      <t>, inscrita no CNPJ sob o número 11.349.160/0001-67, sediada no endereço Rua 05 Lote 23 Loja 02 - Pólo de Modas - Guará II - Brasília - DF,  declara que concorda com todas as condições do Edital e seus anexos, e apresenta proposta de preços para prestação, de forma contínua, prestação do serviço de vigilância armada e desarmada, conforme condições, quantidades e exigências estabelecidas neste Edital e seus anexos</t>
    </r>
  </si>
  <si>
    <t>Vigilante Desarmado</t>
  </si>
  <si>
    <t>Supervisor diurno</t>
  </si>
  <si>
    <t>Vigilante Diurno Armado</t>
  </si>
  <si>
    <t>Supervisor Noturno</t>
  </si>
  <si>
    <t>Vigilante Noturno Armado</t>
  </si>
  <si>
    <t>LANCE</t>
  </si>
  <si>
    <t>(Um milhão, novecentos e vinte e nove mil, trezentos e setenta e oito reais e vinte e quatro centavos).</t>
  </si>
  <si>
    <t>(Cento e sessenta mil, setecentos e oitenta e um reais e cinquenta e dois centavos).</t>
  </si>
  <si>
    <t>Brasília - DF, 03 de julho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</si>
</sst>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quot;R$&quot;\ #,##0.00;[Red]\-&quot;R$&quot;\ #,##0.00"/>
    <numFmt numFmtId="44" formatCode="_-&quot;R$&quot;\ * #,##0.00_-;\-&quot;R$&quot;\ * #,##0.00_-;_-&quot;R$&quot;\ * &quot;-&quot;??_-;_-@_-"/>
    <numFmt numFmtId="43" formatCode="_-* #,##0.00_-;\-* #,##0.00_-;_-* &quot;-&quot;??_-;_-@_-"/>
    <numFmt numFmtId="164" formatCode="&quot;R$ &quot;#,##0.00_);[Red]\(&quot;R$ &quot;#,##0.00\)"/>
    <numFmt numFmtId="165" formatCode="_(&quot;R$ &quot;* #,##0.00_);_(&quot;R$ &quot;* \(#,##0.00\);_(&quot;R$ &quot;* &quot;-&quot;??_);_(@_)"/>
    <numFmt numFmtId="166" formatCode="&quot;R$&quot;\ #,##0.00"/>
    <numFmt numFmtId="167" formatCode="&quot; R$&quot;#,##0.00\ ;&quot; R$(&quot;#,##0.00\);&quot; R$-&quot;#\ ;@\ "/>
    <numFmt numFmtId="168" formatCode="0.000%"/>
    <numFmt numFmtId="169" formatCode="00"/>
    <numFmt numFmtId="170" formatCode="#,##0.00\ ;\(#,##0.00\);\-#\ ;@\ "/>
    <numFmt numFmtId="171" formatCode="_(&quot;R$&quot;* #,##0.00_);_(&quot;R$&quot;* \(#,##0.00\);_(&quot;R$&quot;* &quot;-&quot;??_);_(@_)"/>
    <numFmt numFmtId="172" formatCode="00.00"/>
  </numFmts>
  <fonts count="79" x14ac:knownFonts="1">
    <font>
      <sz val="11"/>
      <color theme="1"/>
      <name val="Calibri"/>
      <family val="2"/>
      <scheme val="minor"/>
    </font>
    <font>
      <sz val="11"/>
      <color theme="1"/>
      <name val="Calibri"/>
      <family val="2"/>
      <scheme val="minor"/>
    </font>
    <font>
      <sz val="10"/>
      <name val="Arial"/>
      <family val="2"/>
    </font>
    <font>
      <b/>
      <sz val="10"/>
      <name val="Calibri"/>
      <family val="2"/>
      <scheme val="minor"/>
    </font>
    <font>
      <sz val="10"/>
      <name val="Calibri"/>
      <family val="2"/>
      <scheme val="minor"/>
    </font>
    <font>
      <b/>
      <sz val="10"/>
      <color rgb="FFFF0000"/>
      <name val="Calibri"/>
      <family val="2"/>
      <scheme val="minor"/>
    </font>
    <font>
      <sz val="10"/>
      <color rgb="FFFF0000"/>
      <name val="Calibri"/>
      <family val="2"/>
      <scheme val="minor"/>
    </font>
    <font>
      <b/>
      <sz val="14"/>
      <name val="Calibri"/>
      <family val="2"/>
      <scheme val="minor"/>
    </font>
    <font>
      <sz val="10"/>
      <color rgb="FF000000"/>
      <name val="Times New Roman"/>
      <family val="1"/>
    </font>
    <font>
      <sz val="12"/>
      <color theme="1"/>
      <name val="Calibri"/>
      <family val="2"/>
      <scheme val="minor"/>
    </font>
    <font>
      <b/>
      <u/>
      <sz val="12"/>
      <color rgb="FFFF0000"/>
      <name val="Calibri"/>
      <family val="2"/>
      <scheme val="minor"/>
    </font>
    <font>
      <b/>
      <u/>
      <sz val="12"/>
      <name val="Calibri"/>
      <family val="2"/>
      <scheme val="minor"/>
    </font>
    <font>
      <b/>
      <sz val="12"/>
      <name val="Calibri"/>
      <family val="2"/>
      <scheme val="minor"/>
    </font>
    <font>
      <sz val="12"/>
      <name val="Calibri"/>
      <family val="2"/>
      <scheme val="minor"/>
    </font>
    <font>
      <sz val="12"/>
      <color rgb="FF000000"/>
      <name val="Calibri"/>
      <family val="2"/>
      <scheme val="minor"/>
    </font>
    <font>
      <b/>
      <i/>
      <sz val="12"/>
      <name val="Calibri"/>
      <family val="2"/>
      <scheme val="minor"/>
    </font>
    <font>
      <sz val="10"/>
      <color theme="1"/>
      <name val="Arial"/>
      <family val="2"/>
    </font>
    <font>
      <b/>
      <sz val="12"/>
      <color theme="0"/>
      <name val="Calibri"/>
      <family val="2"/>
      <scheme val="minor"/>
    </font>
    <font>
      <b/>
      <sz val="12"/>
      <color indexed="8"/>
      <name val="Calibri"/>
      <family val="2"/>
      <scheme val="minor"/>
    </font>
    <font>
      <b/>
      <sz val="12"/>
      <color theme="1"/>
      <name val="Calibri"/>
      <family val="2"/>
      <scheme val="minor"/>
    </font>
    <font>
      <b/>
      <sz val="12"/>
      <color rgb="FFFF0000"/>
      <name val="Calibri"/>
      <family val="2"/>
      <scheme val="minor"/>
    </font>
    <font>
      <b/>
      <sz val="11"/>
      <color theme="1"/>
      <name val="Calibri"/>
      <family val="2"/>
      <scheme val="minor"/>
    </font>
    <font>
      <sz val="10"/>
      <color rgb="FF000000"/>
      <name val="Arial"/>
      <family val="2"/>
    </font>
    <font>
      <sz val="12"/>
      <color rgb="FF000000"/>
      <name val="Arial"/>
      <family val="2"/>
    </font>
    <font>
      <b/>
      <sz val="12"/>
      <color rgb="FF000000"/>
      <name val="Arial Narrow"/>
      <family val="2"/>
    </font>
    <font>
      <sz val="12"/>
      <color rgb="FF000000"/>
      <name val="Arial Narrow"/>
      <family val="2"/>
    </font>
    <font>
      <sz val="24"/>
      <color rgb="FF002060"/>
      <name val="Aharoni"/>
    </font>
    <font>
      <b/>
      <i/>
      <sz val="12"/>
      <color rgb="FF000000"/>
      <name val="Arial Narrow"/>
      <family val="2"/>
    </font>
    <font>
      <i/>
      <sz val="12"/>
      <color rgb="FF000000"/>
      <name val="Arial"/>
      <family val="2"/>
    </font>
    <font>
      <b/>
      <i/>
      <sz val="14"/>
      <color rgb="FF000000"/>
      <name val="Arial Narrow"/>
      <family val="2"/>
    </font>
    <font>
      <b/>
      <i/>
      <sz val="10"/>
      <color rgb="FF000000"/>
      <name val="Arial Narrow"/>
      <family val="2"/>
    </font>
    <font>
      <i/>
      <sz val="10"/>
      <color rgb="FF000000"/>
      <name val="Arial"/>
      <family val="2"/>
    </font>
    <font>
      <b/>
      <sz val="16"/>
      <color rgb="FF000000"/>
      <name val="Arial Narrow"/>
      <family val="2"/>
    </font>
    <font>
      <sz val="11"/>
      <color rgb="FF000000"/>
      <name val="Calibri"/>
      <family val="2"/>
    </font>
    <font>
      <b/>
      <sz val="14"/>
      <color rgb="FF000000"/>
      <name val="Arial Narrow"/>
      <family val="2"/>
    </font>
    <font>
      <sz val="14"/>
      <color rgb="FF000000"/>
      <name val="Arial"/>
      <family val="2"/>
    </font>
    <font>
      <u/>
      <sz val="10"/>
      <color rgb="FF0000FF"/>
      <name val="Arial"/>
      <family val="2"/>
    </font>
    <font>
      <sz val="11"/>
      <color rgb="FF000000"/>
      <name val="Arial"/>
      <family val="2"/>
    </font>
    <font>
      <sz val="10"/>
      <color rgb="FF000000"/>
      <name val="Arial"/>
      <family val="2"/>
      <charset val="1"/>
    </font>
    <font>
      <sz val="10"/>
      <color rgb="FF000000"/>
      <name val="Calibri"/>
      <family val="2"/>
      <scheme val="minor"/>
    </font>
    <font>
      <b/>
      <sz val="8"/>
      <name val="Calibri"/>
      <family val="2"/>
      <scheme val="minor"/>
    </font>
    <font>
      <b/>
      <sz val="9"/>
      <color rgb="FF000000"/>
      <name val="Arial"/>
      <family val="2"/>
    </font>
    <font>
      <sz val="9"/>
      <color rgb="FFC00000"/>
      <name val="Arial"/>
      <family val="2"/>
    </font>
    <font>
      <sz val="9"/>
      <color rgb="FF000000"/>
      <name val="Arial"/>
      <family val="2"/>
    </font>
    <font>
      <b/>
      <i/>
      <sz val="9"/>
      <color rgb="FF000000"/>
      <name val="Arial"/>
      <family val="2"/>
    </font>
    <font>
      <b/>
      <sz val="11"/>
      <color rgb="FF000000"/>
      <name val="Arial"/>
      <family val="2"/>
    </font>
    <font>
      <b/>
      <i/>
      <sz val="11"/>
      <color rgb="FF000000"/>
      <name val="Arial"/>
      <family val="2"/>
    </font>
    <font>
      <b/>
      <sz val="10"/>
      <color rgb="FF000000"/>
      <name val="Calibri"/>
      <family val="2"/>
      <scheme val="minor"/>
    </font>
    <font>
      <b/>
      <sz val="9.5"/>
      <name val="Calibri"/>
      <family val="2"/>
      <scheme val="minor"/>
    </font>
    <font>
      <sz val="9.5"/>
      <name val="Calibri"/>
      <family val="2"/>
      <scheme val="minor"/>
    </font>
    <font>
      <u/>
      <sz val="9.5"/>
      <name val="Calibri"/>
      <family val="2"/>
      <scheme val="minor"/>
    </font>
    <font>
      <sz val="9.5"/>
      <color rgb="FF000000"/>
      <name val="Calibri"/>
      <family val="2"/>
      <scheme val="minor"/>
    </font>
    <font>
      <u/>
      <sz val="9.5"/>
      <color rgb="FF0000ED"/>
      <name val="Calibri"/>
      <family val="2"/>
      <scheme val="minor"/>
    </font>
    <font>
      <sz val="9.5"/>
      <color rgb="FF0000ED"/>
      <name val="Calibri"/>
      <family val="2"/>
      <scheme val="minor"/>
    </font>
    <font>
      <b/>
      <sz val="9.5"/>
      <color rgb="FF000000"/>
      <name val="Calibri"/>
      <family val="2"/>
      <scheme val="minor"/>
    </font>
    <font>
      <b/>
      <i/>
      <sz val="9.5"/>
      <color rgb="FFFF0000"/>
      <name val="Calibri"/>
      <family val="2"/>
      <scheme val="minor"/>
    </font>
    <font>
      <sz val="10"/>
      <color theme="1"/>
      <name val="Calibri"/>
      <family val="2"/>
      <scheme val="minor"/>
    </font>
    <font>
      <b/>
      <sz val="8.5"/>
      <name val="Calibri"/>
      <family val="2"/>
      <scheme val="minor"/>
    </font>
    <font>
      <b/>
      <u/>
      <sz val="9.5"/>
      <name val="Calibri"/>
      <family val="2"/>
      <scheme val="minor"/>
    </font>
    <font>
      <sz val="9"/>
      <name val="Calibri"/>
      <family val="2"/>
      <scheme val="minor"/>
    </font>
    <font>
      <sz val="9.5"/>
      <color theme="1"/>
      <name val="Calibri"/>
      <family val="2"/>
      <scheme val="minor"/>
    </font>
    <font>
      <b/>
      <sz val="9"/>
      <name val="Calibri"/>
      <family val="2"/>
      <scheme val="minor"/>
    </font>
    <font>
      <b/>
      <u/>
      <sz val="9.5"/>
      <color rgb="FF0000FF"/>
      <name val="Calibri"/>
      <family val="2"/>
      <scheme val="minor"/>
    </font>
    <font>
      <b/>
      <sz val="9.5"/>
      <color rgb="FF0000FF"/>
      <name val="Calibri"/>
      <family val="2"/>
      <scheme val="minor"/>
    </font>
    <font>
      <b/>
      <sz val="9.5"/>
      <name val="Times New Roman"/>
      <family val="1"/>
    </font>
    <font>
      <sz val="11"/>
      <color rgb="FF000000"/>
      <name val="Calibri"/>
      <family val="2"/>
      <scheme val="minor"/>
    </font>
    <font>
      <sz val="11"/>
      <color rgb="FFFF0000"/>
      <name val="Calibri"/>
      <family val="2"/>
      <charset val="1"/>
    </font>
    <font>
      <b/>
      <sz val="11"/>
      <name val="Calibri"/>
      <family val="2"/>
      <scheme val="minor"/>
    </font>
    <font>
      <sz val="9"/>
      <color theme="1"/>
      <name val="Calibri"/>
      <family val="2"/>
      <scheme val="minor"/>
    </font>
    <font>
      <sz val="8"/>
      <color rgb="FF000000"/>
      <name val="Calibri"/>
      <family val="2"/>
      <scheme val="minor"/>
    </font>
    <font>
      <sz val="11"/>
      <name val="Calibri"/>
      <family val="2"/>
      <scheme val="minor"/>
    </font>
    <font>
      <b/>
      <u/>
      <sz val="10"/>
      <color theme="1"/>
      <name val="Calibri"/>
      <family val="2"/>
      <scheme val="minor"/>
    </font>
    <font>
      <b/>
      <sz val="10"/>
      <color theme="1"/>
      <name val="Calibri"/>
      <family val="2"/>
      <scheme val="minor"/>
    </font>
    <font>
      <b/>
      <sz val="12"/>
      <name val="Verdana"/>
      <family val="2"/>
    </font>
    <font>
      <b/>
      <sz val="11"/>
      <color theme="1"/>
      <name val="Arial Narrow"/>
      <family val="2"/>
    </font>
    <font>
      <sz val="12"/>
      <name val="Verdana"/>
      <family val="2"/>
    </font>
    <font>
      <b/>
      <sz val="11"/>
      <name val="Verdana"/>
      <family val="2"/>
    </font>
    <font>
      <sz val="9"/>
      <color rgb="FF000000"/>
      <name val="Roboto"/>
    </font>
    <font>
      <sz val="7"/>
      <color rgb="FF000000"/>
      <name val="Roboto"/>
    </font>
  </fonts>
  <fills count="17">
    <fill>
      <patternFill patternType="none"/>
    </fill>
    <fill>
      <patternFill patternType="gray125"/>
    </fill>
    <fill>
      <patternFill patternType="solid">
        <fgColor theme="0" tint="-0.14999847407452621"/>
        <bgColor indexed="64"/>
      </patternFill>
    </fill>
    <fill>
      <patternFill patternType="solid">
        <fgColor indexed="22"/>
        <bgColor indexed="31"/>
      </patternFill>
    </fill>
    <fill>
      <patternFill patternType="solid">
        <fgColor theme="6" tint="0.79998168889431442"/>
        <bgColor indexed="64"/>
      </patternFill>
    </fill>
    <fill>
      <patternFill patternType="solid">
        <fgColor theme="0"/>
        <bgColor indexed="64"/>
      </patternFill>
    </fill>
    <fill>
      <patternFill patternType="solid">
        <fgColor theme="0"/>
        <bgColor indexed="31"/>
      </patternFill>
    </fill>
    <fill>
      <patternFill patternType="solid">
        <fgColor indexed="9"/>
        <bgColor indexed="64"/>
      </patternFill>
    </fill>
    <fill>
      <patternFill patternType="solid">
        <fgColor theme="0" tint="-0.249977111117893"/>
        <bgColor indexed="64"/>
      </patternFill>
    </fill>
    <fill>
      <patternFill patternType="solid">
        <fgColor rgb="FF00B0F0"/>
        <bgColor indexed="64"/>
      </patternFill>
    </fill>
    <fill>
      <patternFill patternType="solid">
        <fgColor theme="3" tint="0.79998168889431442"/>
        <bgColor indexed="64"/>
      </patternFill>
    </fill>
    <fill>
      <patternFill patternType="solid">
        <fgColor rgb="FFFFFF00"/>
        <bgColor indexed="64"/>
      </patternFill>
    </fill>
    <fill>
      <patternFill patternType="solid">
        <fgColor rgb="FFFFFFFF"/>
        <bgColor rgb="FFFFFFFF"/>
      </patternFill>
    </fill>
    <fill>
      <patternFill patternType="solid">
        <fgColor rgb="FFD9D9D9"/>
        <bgColor rgb="FFD9D9D9"/>
      </patternFill>
    </fill>
    <fill>
      <patternFill patternType="solid">
        <fgColor rgb="FFAFABAB"/>
        <bgColor rgb="FFC0C0C0"/>
      </patternFill>
    </fill>
    <fill>
      <patternFill patternType="solid">
        <fgColor rgb="FFD0CECE"/>
        <bgColor rgb="FFC0C0C0"/>
      </patternFill>
    </fill>
    <fill>
      <patternFill patternType="solid">
        <fgColor rgb="FFFFFFFF"/>
        <bgColor rgb="FFFFFFCC"/>
      </patternFill>
    </fill>
  </fills>
  <borders count="6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rgb="FF000000"/>
      </left>
      <right/>
      <top style="medium">
        <color indexed="64"/>
      </top>
      <bottom style="medium">
        <color indexed="64"/>
      </bottom>
      <diagonal/>
    </border>
    <border>
      <left style="medium">
        <color indexed="64"/>
      </left>
      <right style="thin">
        <color rgb="FF000000"/>
      </right>
      <top/>
      <bottom/>
      <diagonal/>
    </border>
    <border>
      <left style="thin">
        <color rgb="FF000000"/>
      </left>
      <right style="thin">
        <color rgb="FF000000"/>
      </right>
      <top/>
      <bottom/>
      <diagonal/>
    </border>
    <border>
      <left style="thin">
        <color rgb="FF000000"/>
      </left>
      <right style="medium">
        <color indexed="64"/>
      </right>
      <top/>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thin">
        <color rgb="FF000000"/>
      </top>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style="medium">
        <color indexed="64"/>
      </left>
      <right/>
      <top/>
      <bottom style="medium">
        <color indexed="64"/>
      </bottom>
      <diagonal/>
    </border>
    <border>
      <left style="thin">
        <color rgb="FF000000"/>
      </left>
      <right/>
      <top/>
      <bottom style="medium">
        <color indexed="64"/>
      </bottom>
      <diagonal/>
    </border>
    <border>
      <left/>
      <right/>
      <top/>
      <bottom style="medium">
        <color auto="1"/>
      </bottom>
      <diagonal/>
    </border>
    <border>
      <left/>
      <right style="thin">
        <color rgb="FF000000"/>
      </right>
      <top/>
      <bottom style="medium">
        <color indexed="64"/>
      </bottom>
      <diagonal/>
    </border>
    <border>
      <left/>
      <right style="medium">
        <color auto="1"/>
      </right>
      <top/>
      <bottom style="medium">
        <color auto="1"/>
      </bottom>
      <diagonal/>
    </border>
    <border>
      <left style="medium">
        <color indexed="64"/>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indexed="64"/>
      </right>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style="thin">
        <color rgb="FF2B2B2B"/>
      </left>
      <right/>
      <top/>
      <bottom/>
      <diagonal/>
    </border>
    <border>
      <left style="thin">
        <color rgb="FF2B2B2B"/>
      </left>
      <right style="thin">
        <color rgb="FF2B2B2B"/>
      </right>
      <top/>
      <bottom/>
      <diagonal/>
    </border>
    <border>
      <left/>
      <right style="thin">
        <color rgb="FF2B2B2B"/>
      </right>
      <top/>
      <bottom/>
      <diagonal/>
    </border>
    <border>
      <left style="thin">
        <color rgb="FF2B2B2B"/>
      </left>
      <right style="thin">
        <color rgb="FF2B2B2B"/>
      </right>
      <top/>
      <bottom style="thin">
        <color rgb="FF2B2B2B"/>
      </bottom>
      <diagonal/>
    </border>
    <border>
      <left/>
      <right/>
      <top style="thin">
        <color rgb="FF2B2B2B"/>
      </top>
      <bottom/>
      <diagonal/>
    </border>
  </borders>
  <cellStyleXfs count="2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 fillId="0" borderId="0"/>
    <xf numFmtId="9" fontId="2" fillId="0" borderId="0" applyFill="0" applyBorder="0" applyAlignment="0" applyProtection="0"/>
    <xf numFmtId="165" fontId="2" fillId="0" borderId="0" applyFill="0" applyBorder="0" applyAlignment="0" applyProtection="0"/>
    <xf numFmtId="0" fontId="2" fillId="0" borderId="0"/>
    <xf numFmtId="165" fontId="2" fillId="0" borderId="0" applyFont="0" applyFill="0" applyBorder="0" applyAlignment="0" applyProtection="0"/>
    <xf numFmtId="0" fontId="8" fillId="0" borderId="0"/>
    <xf numFmtId="0" fontId="1" fillId="0" borderId="0"/>
    <xf numFmtId="165" fontId="2" fillId="0" borderId="0" applyFont="0" applyFill="0" applyBorder="0" applyAlignment="0" applyProtection="0"/>
    <xf numFmtId="0" fontId="8" fillId="0" borderId="0"/>
    <xf numFmtId="165" fontId="2" fillId="0" borderId="0" applyFont="0" applyFill="0" applyBorder="0" applyAlignment="0" applyProtection="0"/>
    <xf numFmtId="0" fontId="22" fillId="0" borderId="0" applyNumberFormat="0" applyBorder="0" applyProtection="0"/>
    <xf numFmtId="0" fontId="33" fillId="0" borderId="0"/>
    <xf numFmtId="0" fontId="36" fillId="0" borderId="0" applyNumberFormat="0" applyFill="0" applyBorder="0" applyAlignment="0" applyProtection="0"/>
    <xf numFmtId="0" fontId="37" fillId="0" borderId="0" applyNumberFormat="0" applyBorder="0" applyProtection="0"/>
    <xf numFmtId="0" fontId="38" fillId="0" borderId="0"/>
    <xf numFmtId="167" fontId="38" fillId="0" borderId="0" applyBorder="0" applyProtection="0"/>
    <xf numFmtId="0" fontId="22" fillId="0" borderId="0" applyNumberFormat="0" applyBorder="0" applyProtection="0"/>
    <xf numFmtId="0" fontId="8" fillId="0" borderId="0"/>
    <xf numFmtId="0" fontId="66" fillId="0" borderId="0"/>
    <xf numFmtId="170" fontId="38" fillId="0" borderId="0" applyBorder="0" applyProtection="0"/>
    <xf numFmtId="44" fontId="1" fillId="0" borderId="0" applyFont="0" applyFill="0" applyBorder="0" applyAlignment="0" applyProtection="0"/>
  </cellStyleXfs>
  <cellXfs count="544">
    <xf numFmtId="0" fontId="0" fillId="0" borderId="0" xfId="0"/>
    <xf numFmtId="0" fontId="3" fillId="0" borderId="0" xfId="4" applyFont="1" applyAlignment="1">
      <alignment horizontal="center" vertical="center"/>
    </xf>
    <xf numFmtId="0" fontId="4" fillId="0" borderId="0" xfId="4" applyFont="1" applyAlignment="1">
      <alignment horizontal="center" vertical="center"/>
    </xf>
    <xf numFmtId="0" fontId="4" fillId="0" borderId="2" xfId="4" applyFont="1" applyBorder="1" applyAlignment="1">
      <alignment horizontal="center" vertical="center"/>
    </xf>
    <xf numFmtId="0" fontId="4" fillId="0" borderId="2" xfId="4" applyFont="1" applyBorder="1" applyAlignment="1">
      <alignment horizontal="left" vertical="center"/>
    </xf>
    <xf numFmtId="0" fontId="4" fillId="0" borderId="0" xfId="4" applyFont="1" applyAlignment="1">
      <alignment horizontal="left" vertical="center"/>
    </xf>
    <xf numFmtId="0" fontId="3" fillId="0" borderId="2" xfId="4" applyFont="1" applyBorder="1" applyAlignment="1">
      <alignment horizontal="center" vertical="center"/>
    </xf>
    <xf numFmtId="0" fontId="4" fillId="0" borderId="2" xfId="4" applyFont="1" applyBorder="1" applyAlignment="1">
      <alignment vertical="center"/>
    </xf>
    <xf numFmtId="10" fontId="4" fillId="0" borderId="2" xfId="5" applyNumberFormat="1" applyFont="1" applyBorder="1" applyAlignment="1">
      <alignment horizontal="center" vertical="center"/>
    </xf>
    <xf numFmtId="10" fontId="4" fillId="0" borderId="2" xfId="5" applyNumberFormat="1" applyFont="1" applyFill="1" applyBorder="1" applyAlignment="1">
      <alignment horizontal="center" vertical="center"/>
    </xf>
    <xf numFmtId="2" fontId="3" fillId="0" borderId="0" xfId="4" applyNumberFormat="1" applyFont="1" applyAlignment="1">
      <alignment vertical="center"/>
    </xf>
    <xf numFmtId="0" fontId="3" fillId="4" borderId="2" xfId="4" applyFont="1" applyFill="1" applyBorder="1" applyAlignment="1">
      <alignment horizontal="center" vertical="center"/>
    </xf>
    <xf numFmtId="10" fontId="4" fillId="0" borderId="2" xfId="4" applyNumberFormat="1" applyFont="1" applyBorder="1" applyAlignment="1">
      <alignment horizontal="center" vertical="center"/>
    </xf>
    <xf numFmtId="10" fontId="4" fillId="5" borderId="2" xfId="4" applyNumberFormat="1" applyFont="1" applyFill="1" applyBorder="1" applyAlignment="1">
      <alignment horizontal="center" vertical="center"/>
    </xf>
    <xf numFmtId="10" fontId="3" fillId="0" borderId="2" xfId="4" applyNumberFormat="1" applyFont="1" applyBorder="1" applyAlignment="1">
      <alignment horizontal="center" vertical="center"/>
    </xf>
    <xf numFmtId="0" fontId="3" fillId="6" borderId="2" xfId="4" applyFont="1" applyFill="1" applyBorder="1" applyAlignment="1">
      <alignment horizontal="center" vertical="center"/>
    </xf>
    <xf numFmtId="10" fontId="3" fillId="4" borderId="2" xfId="4" applyNumberFormat="1" applyFont="1" applyFill="1" applyBorder="1" applyAlignment="1">
      <alignment horizontal="center" vertical="center"/>
    </xf>
    <xf numFmtId="10" fontId="4" fillId="0" borderId="2" xfId="4" applyNumberFormat="1" applyFont="1" applyBorder="1" applyAlignment="1">
      <alignment vertical="center"/>
    </xf>
    <xf numFmtId="2" fontId="4" fillId="0" borderId="2" xfId="4" applyNumberFormat="1" applyFont="1" applyBorder="1" applyAlignment="1">
      <alignment horizontal="center" vertical="center"/>
    </xf>
    <xf numFmtId="10" fontId="4" fillId="0" borderId="2" xfId="5" applyNumberFormat="1" applyFont="1" applyBorder="1" applyAlignment="1">
      <alignment vertical="center"/>
    </xf>
    <xf numFmtId="0" fontId="5" fillId="0" borderId="11" xfId="4" applyFont="1" applyBorder="1" applyAlignment="1">
      <alignment horizontal="center" vertical="center"/>
    </xf>
    <xf numFmtId="10" fontId="5" fillId="0" borderId="8" xfId="5" applyNumberFormat="1" applyFont="1" applyBorder="1" applyAlignment="1">
      <alignment vertical="center"/>
    </xf>
    <xf numFmtId="2" fontId="5" fillId="0" borderId="12" xfId="4" applyNumberFormat="1" applyFont="1" applyBorder="1" applyAlignment="1">
      <alignment vertical="center"/>
    </xf>
    <xf numFmtId="0" fontId="5" fillId="0" borderId="13" xfId="4" applyFont="1" applyBorder="1" applyAlignment="1">
      <alignment horizontal="center" vertical="center"/>
    </xf>
    <xf numFmtId="10" fontId="5" fillId="0" borderId="0" xfId="5" applyNumberFormat="1" applyFont="1" applyBorder="1" applyAlignment="1">
      <alignment vertical="center"/>
    </xf>
    <xf numFmtId="2" fontId="5" fillId="0" borderId="14" xfId="4" applyNumberFormat="1" applyFont="1" applyBorder="1" applyAlignment="1">
      <alignment vertical="center"/>
    </xf>
    <xf numFmtId="0" fontId="6" fillId="0" borderId="13" xfId="4" applyFont="1" applyBorder="1" applyAlignment="1">
      <alignment vertical="center"/>
    </xf>
    <xf numFmtId="0" fontId="5" fillId="0" borderId="0" xfId="4" applyFont="1" applyAlignment="1">
      <alignment horizontal="left" vertical="center"/>
    </xf>
    <xf numFmtId="0" fontId="5" fillId="0" borderId="15" xfId="4" applyFont="1" applyBorder="1" applyAlignment="1">
      <alignment horizontal="center" vertical="center"/>
    </xf>
    <xf numFmtId="10" fontId="5" fillId="0" borderId="1" xfId="5" applyNumberFormat="1" applyFont="1" applyBorder="1" applyAlignment="1">
      <alignment vertical="center"/>
    </xf>
    <xf numFmtId="2" fontId="5" fillId="0" borderId="16" xfId="4" applyNumberFormat="1" applyFont="1" applyBorder="1" applyAlignment="1">
      <alignment vertical="center"/>
    </xf>
    <xf numFmtId="0" fontId="4" fillId="0" borderId="0" xfId="4" applyFont="1"/>
    <xf numFmtId="2" fontId="4" fillId="0" borderId="0" xfId="4" applyNumberFormat="1" applyFont="1" applyAlignment="1">
      <alignment vertical="center"/>
    </xf>
    <xf numFmtId="0" fontId="3" fillId="0" borderId="0" xfId="0" applyFont="1" applyAlignment="1">
      <alignment vertical="center"/>
    </xf>
    <xf numFmtId="44" fontId="3" fillId="0" borderId="0" xfId="0" applyNumberFormat="1" applyFont="1" applyAlignment="1">
      <alignment vertical="center"/>
    </xf>
    <xf numFmtId="0" fontId="3" fillId="0" borderId="0" xfId="4" applyFont="1" applyAlignment="1">
      <alignment vertical="center"/>
    </xf>
    <xf numFmtId="43" fontId="4" fillId="0" borderId="0" xfId="4" applyNumberFormat="1" applyFont="1" applyAlignment="1">
      <alignment vertical="center"/>
    </xf>
    <xf numFmtId="0" fontId="4" fillId="0" borderId="4" xfId="4" applyFont="1" applyBorder="1" applyAlignment="1">
      <alignment horizontal="left" vertical="center"/>
    </xf>
    <xf numFmtId="10" fontId="0" fillId="0" borderId="0" xfId="0" applyNumberFormat="1"/>
    <xf numFmtId="0" fontId="9" fillId="0" borderId="0" xfId="0" applyFont="1"/>
    <xf numFmtId="0" fontId="9" fillId="0" borderId="0" xfId="0" applyFont="1" applyAlignment="1">
      <alignment horizontal="left"/>
    </xf>
    <xf numFmtId="0" fontId="12" fillId="7" borderId="0" xfId="7" applyFont="1" applyFill="1" applyAlignment="1">
      <alignment horizontal="center" vertical="center" wrapText="1"/>
    </xf>
    <xf numFmtId="0" fontId="12" fillId="7" borderId="0" xfId="7" applyFont="1" applyFill="1" applyAlignment="1">
      <alignment horizontal="left" vertical="center" wrapText="1"/>
    </xf>
    <xf numFmtId="165" fontId="12" fillId="7" borderId="0" xfId="8" applyFont="1" applyFill="1" applyAlignment="1">
      <alignment horizontal="center" vertical="center" wrapText="1"/>
    </xf>
    <xf numFmtId="0" fontId="12" fillId="8" borderId="2" xfId="7" applyFont="1" applyFill="1" applyBorder="1" applyAlignment="1">
      <alignment horizontal="center" vertical="center" wrapText="1"/>
    </xf>
    <xf numFmtId="0" fontId="12" fillId="8" borderId="2" xfId="7" applyFont="1" applyFill="1" applyBorder="1" applyAlignment="1">
      <alignment horizontal="left" vertical="center" wrapText="1"/>
    </xf>
    <xf numFmtId="165" fontId="12" fillId="8" borderId="2" xfId="8" applyFont="1" applyFill="1" applyBorder="1" applyAlignment="1">
      <alignment horizontal="center" vertical="center" wrapText="1"/>
    </xf>
    <xf numFmtId="0" fontId="13" fillId="5" borderId="2" xfId="7" applyFont="1" applyFill="1" applyBorder="1" applyAlignment="1">
      <alignment horizontal="center" vertical="center" wrapText="1"/>
    </xf>
    <xf numFmtId="0" fontId="14" fillId="0" borderId="2" xfId="9" applyFont="1" applyBorder="1" applyAlignment="1">
      <alignment horizontal="left" vertical="center" wrapText="1"/>
    </xf>
    <xf numFmtId="0" fontId="13" fillId="0" borderId="2" xfId="7" applyFont="1" applyBorder="1" applyAlignment="1">
      <alignment horizontal="center" vertical="center" wrapText="1"/>
    </xf>
    <xf numFmtId="0" fontId="14" fillId="0" borderId="2" xfId="9" applyFont="1" applyBorder="1" applyAlignment="1">
      <alignment horizontal="center" vertical="center" wrapText="1"/>
    </xf>
    <xf numFmtId="165" fontId="13" fillId="5" borderId="2" xfId="8" applyFont="1" applyFill="1" applyBorder="1" applyAlignment="1">
      <alignment horizontal="justify" vertical="center" wrapText="1"/>
    </xf>
    <xf numFmtId="165" fontId="13" fillId="7" borderId="2" xfId="8" applyFont="1" applyFill="1" applyBorder="1" applyAlignment="1">
      <alignment horizontal="center" vertical="center" wrapText="1"/>
    </xf>
    <xf numFmtId="0" fontId="14" fillId="5" borderId="2" xfId="9" applyFont="1" applyFill="1" applyBorder="1" applyAlignment="1">
      <alignment horizontal="center" vertical="center" wrapText="1"/>
    </xf>
    <xf numFmtId="165" fontId="13" fillId="5" borderId="2" xfId="8" applyFont="1" applyFill="1" applyBorder="1" applyAlignment="1">
      <alignment horizontal="center" vertical="center" wrapText="1"/>
    </xf>
    <xf numFmtId="0" fontId="9" fillId="0" borderId="0" xfId="0" applyFont="1" applyAlignment="1">
      <alignment horizontal="center"/>
    </xf>
    <xf numFmtId="0" fontId="13" fillId="5" borderId="2" xfId="7" applyFont="1" applyFill="1" applyBorder="1" applyAlignment="1">
      <alignment horizontal="left" vertical="center" wrapText="1"/>
    </xf>
    <xf numFmtId="0" fontId="9" fillId="0" borderId="0" xfId="0" applyFont="1" applyAlignment="1">
      <alignment horizontal="center" vertical="center"/>
    </xf>
    <xf numFmtId="0" fontId="9" fillId="0" borderId="0" xfId="0" applyFont="1" applyAlignment="1">
      <alignment horizontal="left" vertical="center"/>
    </xf>
    <xf numFmtId="0" fontId="16" fillId="0" borderId="2" xfId="0" applyFont="1" applyBorder="1" applyAlignment="1">
      <alignment vertical="center" wrapText="1"/>
    </xf>
    <xf numFmtId="0" fontId="4" fillId="0" borderId="4" xfId="4" applyFont="1" applyBorder="1" applyAlignment="1">
      <alignment horizontal="center" vertical="center"/>
    </xf>
    <xf numFmtId="0" fontId="4" fillId="0" borderId="2" xfId="4" applyFont="1" applyBorder="1" applyAlignment="1">
      <alignment horizontal="left" vertical="center" wrapText="1"/>
    </xf>
    <xf numFmtId="0" fontId="3" fillId="0" borderId="2" xfId="4" applyFont="1" applyBorder="1" applyAlignment="1">
      <alignment horizontal="left" vertical="center"/>
    </xf>
    <xf numFmtId="0" fontId="5" fillId="0" borderId="8" xfId="4" applyFont="1" applyBorder="1" applyAlignment="1">
      <alignment horizontal="left" vertical="center"/>
    </xf>
    <xf numFmtId="0" fontId="5" fillId="0" borderId="1" xfId="4" applyFont="1" applyBorder="1" applyAlignment="1">
      <alignment horizontal="left" vertical="center"/>
    </xf>
    <xf numFmtId="0" fontId="4" fillId="0" borderId="4" xfId="4" applyFont="1" applyBorder="1" applyAlignment="1">
      <alignment vertical="center" wrapText="1"/>
    </xf>
    <xf numFmtId="44" fontId="4" fillId="0" borderId="2" xfId="2" applyFont="1" applyBorder="1" applyAlignment="1">
      <alignment vertical="center"/>
    </xf>
    <xf numFmtId="44" fontId="3" fillId="0" borderId="2" xfId="2" applyFont="1" applyBorder="1" applyAlignment="1">
      <alignment vertical="center"/>
    </xf>
    <xf numFmtId="44" fontId="3" fillId="4" borderId="2" xfId="2" applyFont="1" applyFill="1" applyBorder="1" applyAlignment="1">
      <alignment horizontal="center" vertical="center"/>
    </xf>
    <xf numFmtId="44" fontId="4" fillId="0" borderId="2" xfId="2" applyFont="1" applyBorder="1" applyAlignment="1">
      <alignment horizontal="right" vertical="center"/>
    </xf>
    <xf numFmtId="44" fontId="4" fillId="0" borderId="2" xfId="2" applyFont="1" applyBorder="1" applyAlignment="1">
      <alignment horizontal="center" vertical="center"/>
    </xf>
    <xf numFmtId="44" fontId="7" fillId="11" borderId="2" xfId="2" applyFont="1" applyFill="1" applyBorder="1" applyAlignment="1">
      <alignment vertical="center"/>
    </xf>
    <xf numFmtId="0" fontId="12" fillId="7" borderId="0" xfId="7" applyFont="1" applyFill="1" applyAlignment="1" applyProtection="1">
      <alignment horizontal="left" vertical="center" wrapText="1"/>
      <protection locked="0"/>
    </xf>
    <xf numFmtId="0" fontId="12" fillId="7" borderId="0" xfId="7" applyFont="1" applyFill="1" applyAlignment="1" applyProtection="1">
      <alignment horizontal="center" vertical="center" wrapText="1"/>
      <protection locked="0"/>
    </xf>
    <xf numFmtId="0" fontId="18" fillId="7" borderId="0" xfId="7" applyFont="1" applyFill="1" applyAlignment="1">
      <alignment horizontal="left" vertical="center" wrapText="1"/>
    </xf>
    <xf numFmtId="0" fontId="18" fillId="7" borderId="0" xfId="7" applyFont="1" applyFill="1" applyAlignment="1">
      <alignment vertical="center" wrapText="1"/>
    </xf>
    <xf numFmtId="165" fontId="18" fillId="7" borderId="0" xfId="11" applyFont="1" applyFill="1" applyAlignment="1">
      <alignment horizontal="center" vertical="center" wrapText="1"/>
    </xf>
    <xf numFmtId="0" fontId="18" fillId="7" borderId="0" xfId="11" applyNumberFormat="1" applyFont="1" applyFill="1" applyAlignment="1">
      <alignment horizontal="center" vertical="center" wrapText="1"/>
    </xf>
    <xf numFmtId="0" fontId="18" fillId="7" borderId="0" xfId="7" applyFont="1" applyFill="1" applyAlignment="1">
      <alignment horizontal="center" vertical="center" wrapText="1"/>
    </xf>
    <xf numFmtId="0" fontId="12" fillId="7" borderId="0" xfId="7" applyFont="1" applyFill="1" applyAlignment="1" applyProtection="1">
      <alignment vertical="center" wrapText="1"/>
      <protection locked="0"/>
    </xf>
    <xf numFmtId="0" fontId="19" fillId="0" borderId="2" xfId="12" applyFont="1" applyBorder="1" applyAlignment="1">
      <alignment horizontal="center" vertical="center" wrapText="1"/>
    </xf>
    <xf numFmtId="0" fontId="19" fillId="10" borderId="2" xfId="12" applyFont="1" applyFill="1" applyBorder="1" applyAlignment="1">
      <alignment horizontal="center" vertical="center" wrapText="1"/>
    </xf>
    <xf numFmtId="0" fontId="13" fillId="0" borderId="2" xfId="12" applyFont="1" applyBorder="1" applyAlignment="1">
      <alignment horizontal="center" vertical="center" wrapText="1"/>
    </xf>
    <xf numFmtId="165" fontId="13" fillId="0" borderId="2" xfId="13" applyFont="1" applyFill="1" applyBorder="1" applyAlignment="1">
      <alignment horizontal="center" vertical="center" wrapText="1"/>
    </xf>
    <xf numFmtId="0" fontId="13" fillId="10" borderId="2" xfId="12" applyFont="1" applyFill="1" applyBorder="1" applyAlignment="1">
      <alignment horizontal="center" vertical="center" wrapText="1"/>
    </xf>
    <xf numFmtId="0" fontId="14" fillId="0" borderId="2" xfId="12" applyFont="1" applyBorder="1" applyAlignment="1">
      <alignment horizontal="center" vertical="center" wrapText="1"/>
    </xf>
    <xf numFmtId="44" fontId="19" fillId="0" borderId="4" xfId="2" applyFont="1" applyFill="1" applyBorder="1" applyAlignment="1">
      <alignment vertical="center" wrapText="1"/>
    </xf>
    <xf numFmtId="44" fontId="19" fillId="0" borderId="5" xfId="2" applyFont="1" applyFill="1" applyBorder="1" applyAlignment="1">
      <alignment vertical="center" wrapText="1"/>
    </xf>
    <xf numFmtId="0" fontId="19" fillId="0" borderId="5" xfId="2" applyNumberFormat="1" applyFont="1" applyFill="1" applyBorder="1" applyAlignment="1">
      <alignment horizontal="center" wrapText="1"/>
    </xf>
    <xf numFmtId="0" fontId="19" fillId="0" borderId="6" xfId="2" applyNumberFormat="1" applyFont="1" applyFill="1" applyBorder="1" applyAlignment="1">
      <alignment horizontal="center" vertical="center" wrapText="1"/>
    </xf>
    <xf numFmtId="0" fontId="9" fillId="0" borderId="0" xfId="10" applyFont="1" applyAlignment="1">
      <alignment horizontal="left"/>
    </xf>
    <xf numFmtId="0" fontId="9" fillId="0" borderId="0" xfId="10" applyFont="1"/>
    <xf numFmtId="43" fontId="9" fillId="0" borderId="0" xfId="1" applyFont="1" applyAlignment="1">
      <alignment vertical="center"/>
    </xf>
    <xf numFmtId="43" fontId="9" fillId="0" borderId="0" xfId="10" applyNumberFormat="1" applyFont="1"/>
    <xf numFmtId="43" fontId="9" fillId="0" borderId="2" xfId="10" applyNumberFormat="1" applyFont="1" applyBorder="1" applyAlignment="1">
      <alignment vertical="center"/>
    </xf>
    <xf numFmtId="43" fontId="9" fillId="0" borderId="0" xfId="10" applyNumberFormat="1" applyFont="1" applyAlignment="1">
      <alignment vertical="center"/>
    </xf>
    <xf numFmtId="43" fontId="9" fillId="0" borderId="0" xfId="1" applyFont="1"/>
    <xf numFmtId="43" fontId="9" fillId="0" borderId="0" xfId="0" applyNumberFormat="1" applyFont="1"/>
    <xf numFmtId="10" fontId="9" fillId="0" borderId="0" xfId="3" applyNumberFormat="1" applyFont="1"/>
    <xf numFmtId="165" fontId="19" fillId="11" borderId="2" xfId="12" applyNumberFormat="1" applyFont="1" applyFill="1" applyBorder="1" applyAlignment="1">
      <alignment horizontal="center" vertical="center" wrapText="1"/>
    </xf>
    <xf numFmtId="44" fontId="19" fillId="11" borderId="2" xfId="2" applyFont="1" applyFill="1" applyBorder="1"/>
    <xf numFmtId="44" fontId="9" fillId="0" borderId="2" xfId="0" applyNumberFormat="1" applyFont="1" applyBorder="1"/>
    <xf numFmtId="44" fontId="19" fillId="0" borderId="2" xfId="0" applyNumberFormat="1" applyFont="1" applyBorder="1"/>
    <xf numFmtId="0" fontId="23" fillId="0" borderId="19" xfId="14" applyFont="1" applyBorder="1"/>
    <xf numFmtId="0" fontId="23" fillId="0" borderId="20" xfId="14" applyFont="1" applyBorder="1"/>
    <xf numFmtId="0" fontId="24" fillId="12" borderId="20" xfId="14" applyFont="1" applyFill="1" applyBorder="1" applyAlignment="1">
      <alignment horizontal="justify" wrapText="1"/>
    </xf>
    <xf numFmtId="0" fontId="24" fillId="12" borderId="21" xfId="14" applyFont="1" applyFill="1" applyBorder="1" applyAlignment="1">
      <alignment horizontal="justify" wrapText="1"/>
    </xf>
    <xf numFmtId="0" fontId="23" fillId="0" borderId="0" xfId="14" applyFont="1"/>
    <xf numFmtId="0" fontId="25" fillId="12" borderId="3" xfId="14" applyFont="1" applyFill="1" applyBorder="1" applyAlignment="1">
      <alignment horizontal="justify" vertical="center" wrapText="1"/>
    </xf>
    <xf numFmtId="0" fontId="25" fillId="12" borderId="0" xfId="14" applyFont="1" applyFill="1" applyBorder="1" applyAlignment="1">
      <alignment horizontal="justify" vertical="center" wrapText="1"/>
    </xf>
    <xf numFmtId="0" fontId="24" fillId="12" borderId="0" xfId="14" applyFont="1" applyFill="1" applyBorder="1" applyAlignment="1">
      <alignment horizontal="justify" wrapText="1"/>
    </xf>
    <xf numFmtId="0" fontId="24" fillId="12" borderId="22" xfId="14" applyFont="1" applyFill="1" applyBorder="1" applyAlignment="1">
      <alignment horizontal="justify" wrapText="1"/>
    </xf>
    <xf numFmtId="0" fontId="28" fillId="0" borderId="0" xfId="14" applyFont="1"/>
    <xf numFmtId="0" fontId="31" fillId="0" borderId="0" xfId="14" applyFont="1"/>
    <xf numFmtId="0" fontId="24" fillId="12" borderId="3" xfId="14" applyFont="1" applyFill="1" applyBorder="1" applyAlignment="1">
      <alignment horizontal="justify" wrapText="1"/>
    </xf>
    <xf numFmtId="0" fontId="23" fillId="0" borderId="0" xfId="14" applyFont="1" applyBorder="1"/>
    <xf numFmtId="0" fontId="33" fillId="12" borderId="3" xfId="15" applyFill="1" applyBorder="1"/>
    <xf numFmtId="0" fontId="33" fillId="12" borderId="0" xfId="15" applyFill="1"/>
    <xf numFmtId="0" fontId="35" fillId="0" borderId="0" xfId="14" applyFont="1"/>
    <xf numFmtId="0" fontId="24" fillId="12" borderId="0" xfId="14" applyFont="1" applyFill="1" applyBorder="1" applyAlignment="1">
      <alignment horizontal="left" vertical="center" wrapText="1"/>
    </xf>
    <xf numFmtId="0" fontId="24" fillId="12" borderId="0" xfId="14" applyFont="1" applyFill="1" applyBorder="1" applyAlignment="1">
      <alignment vertical="center" wrapText="1"/>
    </xf>
    <xf numFmtId="0" fontId="25" fillId="12" borderId="0" xfId="14" applyFont="1" applyFill="1" applyBorder="1" applyAlignment="1">
      <alignment vertical="center" wrapText="1"/>
    </xf>
    <xf numFmtId="0" fontId="37" fillId="0" borderId="0" xfId="17"/>
    <xf numFmtId="0" fontId="39" fillId="0" borderId="0" xfId="18" applyFont="1" applyAlignment="1">
      <alignment vertical="center"/>
    </xf>
    <xf numFmtId="0" fontId="40" fillId="15" borderId="26" xfId="18" applyFont="1" applyFill="1" applyBorder="1" applyAlignment="1">
      <alignment vertical="center"/>
    </xf>
    <xf numFmtId="0" fontId="40" fillId="15" borderId="30" xfId="18" applyFont="1" applyFill="1" applyBorder="1" applyAlignment="1">
      <alignment horizontal="center" vertical="center" wrapText="1"/>
    </xf>
    <xf numFmtId="0" fontId="4" fillId="16" borderId="30" xfId="18" applyFont="1" applyFill="1" applyBorder="1" applyAlignment="1">
      <alignment horizontal="center" vertical="center"/>
    </xf>
    <xf numFmtId="166" fontId="4" fillId="16" borderId="30" xfId="18" applyNumberFormat="1" applyFont="1" applyFill="1" applyBorder="1" applyAlignment="1">
      <alignment horizontal="right" vertical="center"/>
    </xf>
    <xf numFmtId="166" fontId="4" fillId="0" borderId="30" xfId="19" applyNumberFormat="1" applyFont="1" applyBorder="1" applyAlignment="1" applyProtection="1">
      <alignment vertical="center"/>
    </xf>
    <xf numFmtId="0" fontId="3" fillId="15" borderId="30" xfId="18" applyFont="1" applyFill="1" applyBorder="1" applyAlignment="1">
      <alignment horizontal="center" vertical="center"/>
    </xf>
    <xf numFmtId="166" fontId="3" fillId="15" borderId="32" xfId="18" applyNumberFormat="1" applyFont="1" applyFill="1" applyBorder="1" applyAlignment="1">
      <alignment horizontal="center" vertical="center"/>
    </xf>
    <xf numFmtId="166" fontId="3" fillId="15" borderId="33" xfId="18" applyNumberFormat="1" applyFont="1" applyFill="1" applyBorder="1" applyAlignment="1">
      <alignment horizontal="center" vertical="center"/>
    </xf>
    <xf numFmtId="166" fontId="3" fillId="15" borderId="33" xfId="19" applyNumberFormat="1" applyFont="1" applyFill="1" applyBorder="1" applyAlignment="1" applyProtection="1">
      <alignment vertical="center"/>
    </xf>
    <xf numFmtId="166" fontId="3" fillId="15" borderId="29" xfId="19" applyNumberFormat="1" applyFont="1" applyFill="1" applyBorder="1" applyAlignment="1" applyProtection="1">
      <alignment vertical="center"/>
    </xf>
    <xf numFmtId="166" fontId="41" fillId="0" borderId="30" xfId="14" applyNumberFormat="1" applyFont="1" applyBorder="1" applyAlignment="1">
      <alignment horizontal="right" vertical="center" wrapText="1"/>
    </xf>
    <xf numFmtId="166" fontId="42" fillId="0" borderId="0" xfId="14" applyNumberFormat="1" applyFont="1"/>
    <xf numFmtId="0" fontId="42" fillId="0" borderId="0" xfId="14" applyFont="1"/>
    <xf numFmtId="0" fontId="43" fillId="0" borderId="0" xfId="14" applyFont="1"/>
    <xf numFmtId="166" fontId="43" fillId="0" borderId="0" xfId="14" applyNumberFormat="1" applyFont="1"/>
    <xf numFmtId="166" fontId="41" fillId="0" borderId="30" xfId="14" applyNumberFormat="1" applyFont="1" applyBorder="1" applyAlignment="1">
      <alignment horizontal="right" vertical="center"/>
    </xf>
    <xf numFmtId="0" fontId="24" fillId="12" borderId="3" xfId="20" applyFont="1" applyFill="1" applyBorder="1" applyAlignment="1">
      <alignment horizontal="center" vertical="center" wrapText="1"/>
    </xf>
    <xf numFmtId="0" fontId="24" fillId="12" borderId="0" xfId="20" applyFont="1" applyFill="1" applyBorder="1" applyAlignment="1">
      <alignment horizontal="center" vertical="center" wrapText="1"/>
    </xf>
    <xf numFmtId="0" fontId="24" fillId="12" borderId="22" xfId="20" applyFont="1" applyFill="1" applyBorder="1" applyAlignment="1">
      <alignment horizontal="center" vertical="center" wrapText="1"/>
    </xf>
    <xf numFmtId="0" fontId="23" fillId="0" borderId="22" xfId="14" applyFont="1" applyBorder="1"/>
    <xf numFmtId="0" fontId="25" fillId="0" borderId="0" xfId="14" applyFont="1" applyBorder="1"/>
    <xf numFmtId="0" fontId="24" fillId="12" borderId="50" xfId="14" applyFont="1" applyFill="1" applyBorder="1" applyAlignment="1">
      <alignment horizontal="left" vertical="center" wrapText="1"/>
    </xf>
    <xf numFmtId="0" fontId="25" fillId="0" borderId="50" xfId="14" applyFont="1" applyBorder="1"/>
    <xf numFmtId="0" fontId="37" fillId="12" borderId="3" xfId="17" applyFill="1" applyBorder="1"/>
    <xf numFmtId="0" fontId="37" fillId="12" borderId="0" xfId="17" applyFill="1" applyBorder="1"/>
    <xf numFmtId="0" fontId="24" fillId="12" borderId="48" xfId="14" applyFont="1" applyFill="1" applyBorder="1" applyAlignment="1">
      <alignment horizontal="justify" wrapText="1"/>
    </xf>
    <xf numFmtId="0" fontId="24" fillId="12" borderId="50" xfId="14" applyFont="1" applyFill="1" applyBorder="1" applyAlignment="1">
      <alignment horizontal="justify" wrapText="1"/>
    </xf>
    <xf numFmtId="0" fontId="23" fillId="0" borderId="50" xfId="14" applyFont="1" applyBorder="1"/>
    <xf numFmtId="0" fontId="24" fillId="12" borderId="52" xfId="14" applyFont="1" applyFill="1" applyBorder="1" applyAlignment="1">
      <alignment horizontal="justify" wrapText="1"/>
    </xf>
    <xf numFmtId="0" fontId="24" fillId="12" borderId="0" xfId="14" applyFont="1" applyFill="1" applyAlignment="1">
      <alignment horizontal="justify" wrapText="1"/>
    </xf>
    <xf numFmtId="168" fontId="4" fillId="0" borderId="2" xfId="4" applyNumberFormat="1" applyFont="1" applyBorder="1" applyAlignment="1">
      <alignment horizontal="center" vertical="center"/>
    </xf>
    <xf numFmtId="168" fontId="4" fillId="5" borderId="2" xfId="4" applyNumberFormat="1" applyFont="1" applyFill="1" applyBorder="1" applyAlignment="1">
      <alignment horizontal="center" vertical="center"/>
    </xf>
    <xf numFmtId="0" fontId="39" fillId="0" borderId="0" xfId="21" applyFont="1" applyAlignment="1">
      <alignment horizontal="left" vertical="center"/>
    </xf>
    <xf numFmtId="0" fontId="39" fillId="0" borderId="0" xfId="21" applyFont="1"/>
    <xf numFmtId="0" fontId="39" fillId="0" borderId="0" xfId="21" applyFont="1" applyAlignment="1">
      <alignment horizontal="left"/>
    </xf>
    <xf numFmtId="0" fontId="39" fillId="0" borderId="0" xfId="21" applyFont="1" applyAlignment="1">
      <alignment horizontal="center" vertical="center"/>
    </xf>
    <xf numFmtId="0" fontId="49" fillId="0" borderId="2" xfId="21" applyFont="1" applyBorder="1" applyAlignment="1">
      <alignment horizontal="center" vertical="center" wrapText="1"/>
    </xf>
    <xf numFmtId="10" fontId="39" fillId="0" borderId="2" xfId="21" applyNumberFormat="1" applyFont="1" applyBorder="1" applyAlignment="1">
      <alignment horizontal="center" vertical="center" shrinkToFit="1"/>
    </xf>
    <xf numFmtId="0" fontId="49" fillId="0" borderId="2" xfId="10" applyFont="1" applyBorder="1" applyAlignment="1">
      <alignment horizontal="center" vertical="center" wrapText="1"/>
    </xf>
    <xf numFmtId="10" fontId="39" fillId="0" borderId="2" xfId="10" applyNumberFormat="1" applyFont="1" applyBorder="1" applyAlignment="1">
      <alignment horizontal="center" vertical="center" shrinkToFit="1"/>
    </xf>
    <xf numFmtId="0" fontId="1" fillId="0" borderId="0" xfId="10" applyAlignment="1">
      <alignment horizontal="left" vertical="center"/>
    </xf>
    <xf numFmtId="0" fontId="48" fillId="0" borderId="2" xfId="10" applyFont="1" applyBorder="1" applyAlignment="1">
      <alignment horizontal="center" vertical="center" wrapText="1"/>
    </xf>
    <xf numFmtId="10" fontId="47" fillId="0" borderId="2" xfId="10" applyNumberFormat="1" applyFont="1" applyBorder="1" applyAlignment="1">
      <alignment horizontal="center" vertical="center" shrinkToFit="1"/>
    </xf>
    <xf numFmtId="0" fontId="3" fillId="0" borderId="2" xfId="10" applyFont="1" applyBorder="1" applyAlignment="1">
      <alignment horizontal="center" vertical="center" wrapText="1"/>
    </xf>
    <xf numFmtId="0" fontId="48" fillId="0" borderId="8" xfId="10" applyFont="1" applyBorder="1" applyAlignment="1">
      <alignment horizontal="center" vertical="center" wrapText="1"/>
    </xf>
    <xf numFmtId="10" fontId="47" fillId="0" borderId="8" xfId="10" applyNumberFormat="1" applyFont="1" applyBorder="1" applyAlignment="1">
      <alignment horizontal="center" vertical="center" shrinkToFit="1"/>
    </xf>
    <xf numFmtId="0" fontId="49" fillId="0" borderId="8" xfId="10" applyFont="1" applyBorder="1" applyAlignment="1">
      <alignment horizontal="center" vertical="center" wrapText="1"/>
    </xf>
    <xf numFmtId="0" fontId="39" fillId="0" borderId="0" xfId="21" applyFont="1" applyAlignment="1">
      <alignment horizontal="left" vertical="top"/>
    </xf>
    <xf numFmtId="1" fontId="51" fillId="0" borderId="2" xfId="10" applyNumberFormat="1" applyFont="1" applyBorder="1" applyAlignment="1">
      <alignment horizontal="center" vertical="center" shrinkToFit="1"/>
    </xf>
    <xf numFmtId="1" fontId="51" fillId="0" borderId="2" xfId="10" applyNumberFormat="1" applyFont="1" applyBorder="1" applyAlignment="1">
      <alignment horizontal="center" vertical="top" shrinkToFit="1"/>
    </xf>
    <xf numFmtId="0" fontId="1" fillId="0" borderId="0" xfId="10" applyAlignment="1">
      <alignment horizontal="left" vertical="top"/>
    </xf>
    <xf numFmtId="0" fontId="1" fillId="11" borderId="0" xfId="10" applyFill="1" applyAlignment="1">
      <alignment horizontal="left" vertical="top"/>
    </xf>
    <xf numFmtId="0" fontId="48" fillId="11" borderId="2" xfId="21" applyFont="1" applyFill="1" applyBorder="1" applyAlignment="1">
      <alignment horizontal="center" vertical="top" wrapText="1"/>
    </xf>
    <xf numFmtId="1" fontId="51" fillId="11" borderId="2" xfId="21" applyNumberFormat="1" applyFont="1" applyFill="1" applyBorder="1" applyAlignment="1">
      <alignment horizontal="center" vertical="center" shrinkToFit="1"/>
    </xf>
    <xf numFmtId="166" fontId="49" fillId="11" borderId="2" xfId="21" applyNumberFormat="1" applyFont="1" applyFill="1" applyBorder="1" applyAlignment="1">
      <alignment horizontal="center" vertical="center" wrapText="1"/>
    </xf>
    <xf numFmtId="0" fontId="1" fillId="5" borderId="0" xfId="10" applyFill="1" applyAlignment="1">
      <alignment vertical="justify" wrapText="1"/>
    </xf>
    <xf numFmtId="0" fontId="49" fillId="5" borderId="2" xfId="10" applyFont="1" applyFill="1" applyBorder="1" applyAlignment="1">
      <alignment horizontal="center" vertical="center" wrapText="1"/>
    </xf>
    <xf numFmtId="10" fontId="39" fillId="5" borderId="2" xfId="10" applyNumberFormat="1" applyFont="1" applyFill="1" applyBorder="1" applyAlignment="1">
      <alignment horizontal="center" vertical="center" shrinkToFit="1"/>
    </xf>
    <xf numFmtId="0" fontId="1" fillId="5" borderId="0" xfId="10" applyFill="1" applyAlignment="1">
      <alignment horizontal="left" vertical="top"/>
    </xf>
    <xf numFmtId="0" fontId="49" fillId="5" borderId="2" xfId="10" applyFont="1" applyFill="1" applyBorder="1" applyAlignment="1">
      <alignment horizontal="center" vertical="top" wrapText="1"/>
    </xf>
    <xf numFmtId="0" fontId="49" fillId="5" borderId="63" xfId="10" applyFont="1" applyFill="1" applyBorder="1" applyAlignment="1">
      <alignment horizontal="center" vertical="center" wrapText="1"/>
    </xf>
    <xf numFmtId="10" fontId="39" fillId="5" borderId="65" xfId="10" applyNumberFormat="1" applyFont="1" applyFill="1" applyBorder="1" applyAlignment="1">
      <alignment horizontal="center" vertical="center" shrinkToFit="1"/>
    </xf>
    <xf numFmtId="10" fontId="47" fillId="5" borderId="66" xfId="10" applyNumberFormat="1" applyFont="1" applyFill="1" applyBorder="1" applyAlignment="1">
      <alignment horizontal="center" vertical="center" shrinkToFit="1"/>
    </xf>
    <xf numFmtId="0" fontId="39" fillId="5" borderId="0" xfId="21" applyFont="1" applyFill="1" applyAlignment="1">
      <alignment horizontal="left" vertical="center"/>
    </xf>
    <xf numFmtId="0" fontId="1" fillId="0" borderId="0" xfId="10" applyAlignment="1">
      <alignment horizontal="center" vertical="top" wrapText="1"/>
    </xf>
    <xf numFmtId="0" fontId="1" fillId="0" borderId="0" xfId="10"/>
    <xf numFmtId="0" fontId="21" fillId="0" borderId="2" xfId="10" applyFont="1" applyBorder="1" applyAlignment="1">
      <alignment horizontal="center" vertical="center"/>
    </xf>
    <xf numFmtId="0" fontId="21" fillId="0" borderId="0" xfId="10" applyFont="1" applyAlignment="1">
      <alignment vertical="center"/>
    </xf>
    <xf numFmtId="0" fontId="65" fillId="5" borderId="2" xfId="10" applyFont="1" applyFill="1" applyBorder="1" applyAlignment="1">
      <alignment horizontal="center" vertical="center" wrapText="1"/>
    </xf>
    <xf numFmtId="0" fontId="39" fillId="0" borderId="2" xfId="18" applyFont="1" applyBorder="1" applyAlignment="1">
      <alignment horizontal="center" vertical="center"/>
    </xf>
    <xf numFmtId="0" fontId="4" fillId="0" borderId="2" xfId="22" applyFont="1" applyBorder="1" applyAlignment="1">
      <alignment horizontal="center" vertical="center"/>
    </xf>
    <xf numFmtId="169" fontId="13" fillId="5" borderId="2" xfId="10" applyNumberFormat="1" applyFont="1" applyFill="1" applyBorder="1" applyAlignment="1">
      <alignment horizontal="center" vertical="center"/>
    </xf>
    <xf numFmtId="0" fontId="1" fillId="0" borderId="0" xfId="10" applyAlignment="1">
      <alignment vertical="center"/>
    </xf>
    <xf numFmtId="169" fontId="3" fillId="0" borderId="2" xfId="10" applyNumberFormat="1" applyFont="1" applyBorder="1" applyAlignment="1">
      <alignment horizontal="center" vertical="center" wrapText="1"/>
    </xf>
    <xf numFmtId="0" fontId="68" fillId="0" borderId="0" xfId="10" applyFont="1" applyAlignment="1">
      <alignment vertical="center"/>
    </xf>
    <xf numFmtId="0" fontId="0" fillId="0" borderId="0" xfId="0" applyAlignment="1">
      <alignment vertical="center"/>
    </xf>
    <xf numFmtId="0" fontId="21" fillId="5" borderId="0" xfId="0" applyFont="1" applyFill="1" applyAlignment="1">
      <alignment wrapText="1"/>
    </xf>
    <xf numFmtId="0" fontId="74" fillId="5" borderId="0" xfId="0" applyFont="1" applyFill="1"/>
    <xf numFmtId="169" fontId="73" fillId="0" borderId="2" xfId="0" applyNumberFormat="1" applyFont="1" applyBorder="1" applyAlignment="1">
      <alignment horizontal="center" vertical="center" wrapText="1"/>
    </xf>
    <xf numFmtId="169" fontId="75" fillId="0" borderId="2" xfId="0" applyNumberFormat="1" applyFont="1" applyBorder="1" applyAlignment="1">
      <alignment horizontal="center" vertical="center"/>
    </xf>
    <xf numFmtId="9" fontId="75" fillId="0" borderId="2" xfId="3" applyFont="1" applyBorder="1" applyAlignment="1">
      <alignment horizontal="center" vertical="center"/>
    </xf>
    <xf numFmtId="171" fontId="75" fillId="7" borderId="2" xfId="2" applyNumberFormat="1" applyFont="1" applyFill="1" applyBorder="1" applyAlignment="1">
      <alignment vertical="center"/>
    </xf>
    <xf numFmtId="171" fontId="75" fillId="0" borderId="2" xfId="2" applyNumberFormat="1" applyFont="1" applyBorder="1" applyAlignment="1">
      <alignment vertical="center"/>
    </xf>
    <xf numFmtId="44" fontId="0" fillId="0" borderId="0" xfId="0" applyNumberFormat="1" applyAlignment="1">
      <alignment vertical="center"/>
    </xf>
    <xf numFmtId="171" fontId="76" fillId="0" borderId="2" xfId="2" applyNumberFormat="1" applyFont="1" applyBorder="1" applyAlignment="1">
      <alignment vertical="center"/>
    </xf>
    <xf numFmtId="172" fontId="75" fillId="0" borderId="2" xfId="0" applyNumberFormat="1" applyFont="1" applyBorder="1" applyAlignment="1">
      <alignment horizontal="center" vertical="center"/>
    </xf>
    <xf numFmtId="2" fontId="9" fillId="0" borderId="0" xfId="3" applyNumberFormat="1" applyFont="1" applyAlignment="1">
      <alignment horizontal="center" vertical="center"/>
    </xf>
    <xf numFmtId="0" fontId="77" fillId="0" borderId="2" xfId="0" applyFont="1" applyBorder="1" applyAlignment="1">
      <alignment vertical="center" wrapText="1"/>
    </xf>
    <xf numFmtId="0" fontId="77" fillId="0" borderId="2" xfId="0" applyFont="1" applyBorder="1" applyAlignment="1">
      <alignment horizontal="justify" vertical="justify" wrapText="1"/>
    </xf>
    <xf numFmtId="0" fontId="77" fillId="0" borderId="2" xfId="0" applyFont="1" applyBorder="1" applyAlignment="1">
      <alignment horizontal="justify" vertical="center" wrapText="1"/>
    </xf>
    <xf numFmtId="43" fontId="13" fillId="5" borderId="2" xfId="7" applyNumberFormat="1" applyFont="1" applyFill="1" applyBorder="1" applyAlignment="1">
      <alignment horizontal="center" vertical="center" wrapText="1"/>
    </xf>
    <xf numFmtId="43" fontId="12" fillId="7" borderId="5" xfId="7" applyNumberFormat="1" applyFont="1" applyFill="1" applyBorder="1" applyAlignment="1">
      <alignment vertical="center" wrapText="1"/>
    </xf>
    <xf numFmtId="43" fontId="12" fillId="5" borderId="5" xfId="7" applyNumberFormat="1" applyFont="1" applyFill="1" applyBorder="1" applyAlignment="1">
      <alignment vertical="center" wrapText="1"/>
    </xf>
    <xf numFmtId="0" fontId="0" fillId="0" borderId="0" xfId="0" applyAlignment="1">
      <alignment vertical="center" wrapText="1"/>
    </xf>
    <xf numFmtId="0" fontId="3" fillId="16" borderId="30" xfId="18" applyFont="1" applyFill="1" applyBorder="1" applyAlignment="1">
      <alignment vertical="center" wrapText="1"/>
    </xf>
    <xf numFmtId="4" fontId="39" fillId="0" borderId="0" xfId="18" applyNumberFormat="1" applyFont="1" applyAlignment="1">
      <alignment vertical="center"/>
    </xf>
    <xf numFmtId="4" fontId="9" fillId="0" borderId="0" xfId="0" applyNumberFormat="1" applyFont="1"/>
    <xf numFmtId="166" fontId="41" fillId="0" borderId="0" xfId="14" applyNumberFormat="1" applyFont="1" applyAlignment="1">
      <alignment horizontal="center"/>
    </xf>
    <xf numFmtId="0" fontId="33" fillId="12" borderId="3" xfId="15" applyFill="1" applyBorder="1"/>
    <xf numFmtId="0" fontId="33" fillId="12" borderId="46" xfId="15" applyFill="1" applyBorder="1"/>
    <xf numFmtId="0" fontId="33" fillId="12" borderId="3" xfId="15" applyFill="1" applyBorder="1" applyAlignment="1">
      <alignment horizontal="center"/>
    </xf>
    <xf numFmtId="0" fontId="33" fillId="12" borderId="0" xfId="15" applyFill="1" applyAlignment="1">
      <alignment horizontal="center"/>
    </xf>
    <xf numFmtId="0" fontId="33" fillId="12" borderId="22" xfId="15" applyFill="1" applyBorder="1" applyAlignment="1">
      <alignment horizontal="center"/>
    </xf>
    <xf numFmtId="0" fontId="45" fillId="12" borderId="35" xfId="17" applyFont="1" applyFill="1" applyBorder="1" applyAlignment="1">
      <alignment horizontal="center"/>
    </xf>
    <xf numFmtId="0" fontId="45" fillId="12" borderId="47" xfId="17" applyFont="1" applyFill="1" applyBorder="1" applyAlignment="1">
      <alignment horizontal="center"/>
    </xf>
    <xf numFmtId="0" fontId="45" fillId="12" borderId="22" xfId="17" applyFont="1" applyFill="1" applyBorder="1" applyAlignment="1">
      <alignment horizontal="center"/>
    </xf>
    <xf numFmtId="0" fontId="46" fillId="12" borderId="35" xfId="17" applyFont="1" applyFill="1" applyBorder="1" applyAlignment="1">
      <alignment horizontal="center"/>
    </xf>
    <xf numFmtId="0" fontId="46" fillId="12" borderId="47" xfId="17" applyFont="1" applyFill="1" applyBorder="1" applyAlignment="1">
      <alignment horizontal="center"/>
    </xf>
    <xf numFmtId="0" fontId="46" fillId="12" borderId="22" xfId="17" applyFont="1" applyFill="1" applyBorder="1" applyAlignment="1">
      <alignment horizontal="center"/>
    </xf>
    <xf numFmtId="0" fontId="24" fillId="12" borderId="48" xfId="14" applyFont="1" applyFill="1" applyBorder="1" applyAlignment="1">
      <alignment horizontal="left" vertical="center" wrapText="1"/>
    </xf>
    <xf numFmtId="0" fontId="24" fillId="12" borderId="49" xfId="14" applyFont="1" applyFill="1" applyBorder="1" applyAlignment="1">
      <alignment horizontal="left" vertical="center" wrapText="1"/>
    </xf>
    <xf numFmtId="0" fontId="25" fillId="0" borderId="51" xfId="14" applyFont="1" applyBorder="1" applyAlignment="1">
      <alignment horizontal="left"/>
    </xf>
    <xf numFmtId="0" fontId="25" fillId="0" borderId="52" xfId="14" applyFont="1" applyBorder="1" applyAlignment="1">
      <alignment horizontal="left"/>
    </xf>
    <xf numFmtId="0" fontId="24" fillId="12" borderId="23" xfId="14" applyFont="1" applyFill="1" applyBorder="1" applyAlignment="1">
      <alignment horizontal="center" vertical="center" wrapText="1"/>
    </xf>
    <xf numFmtId="0" fontId="24" fillId="12" borderId="24" xfId="14" applyFont="1" applyFill="1" applyBorder="1" applyAlignment="1">
      <alignment horizontal="center" vertical="center" wrapText="1"/>
    </xf>
    <xf numFmtId="0" fontId="24" fillId="12" borderId="25" xfId="14" applyFont="1" applyFill="1" applyBorder="1" applyAlignment="1">
      <alignment horizontal="center" vertical="center" wrapText="1"/>
    </xf>
    <xf numFmtId="0" fontId="24" fillId="12" borderId="53" xfId="14" applyFont="1" applyFill="1" applyBorder="1" applyAlignment="1">
      <alignment horizontal="justify" vertical="center" wrapText="1"/>
    </xf>
    <xf numFmtId="0" fontId="24" fillId="12" borderId="54" xfId="14" applyFont="1" applyFill="1" applyBorder="1" applyAlignment="1">
      <alignment horizontal="justify" vertical="center" wrapText="1"/>
    </xf>
    <xf numFmtId="0" fontId="24" fillId="12" borderId="55" xfId="14" applyFont="1" applyFill="1" applyBorder="1" applyAlignment="1">
      <alignment horizontal="justify" vertical="center" wrapText="1"/>
    </xf>
    <xf numFmtId="0" fontId="24" fillId="12" borderId="56" xfId="14" applyFont="1" applyFill="1" applyBorder="1" applyAlignment="1">
      <alignment horizontal="left" vertical="center" wrapText="1"/>
    </xf>
    <xf numFmtId="0" fontId="24" fillId="12" borderId="57" xfId="14" applyFont="1" applyFill="1" applyBorder="1" applyAlignment="1">
      <alignment horizontal="left" vertical="center" wrapText="1"/>
    </xf>
    <xf numFmtId="0" fontId="24" fillId="12" borderId="58" xfId="14" applyFont="1" applyFill="1" applyBorder="1" applyAlignment="1">
      <alignment horizontal="left" vertical="center" wrapText="1"/>
    </xf>
    <xf numFmtId="0" fontId="24" fillId="12" borderId="59" xfId="14" applyFont="1" applyFill="1" applyBorder="1" applyAlignment="1">
      <alignment horizontal="left" vertical="center" wrapText="1"/>
    </xf>
    <xf numFmtId="0" fontId="24" fillId="12" borderId="60" xfId="14" applyFont="1" applyFill="1" applyBorder="1" applyAlignment="1">
      <alignment horizontal="left" vertical="center" wrapText="1"/>
    </xf>
    <xf numFmtId="0" fontId="24" fillId="12" borderId="61" xfId="14" applyFont="1" applyFill="1" applyBorder="1" applyAlignment="1">
      <alignment horizontal="left" vertical="center" wrapText="1"/>
    </xf>
    <xf numFmtId="0" fontId="24" fillId="12" borderId="3" xfId="14" applyFont="1" applyFill="1" applyBorder="1" applyAlignment="1">
      <alignment horizontal="left" vertical="center" wrapText="1"/>
    </xf>
    <xf numFmtId="0" fontId="24" fillId="12" borderId="46" xfId="14" applyFont="1" applyFill="1" applyBorder="1" applyAlignment="1">
      <alignment horizontal="left" vertical="center" wrapText="1"/>
    </xf>
    <xf numFmtId="0" fontId="25" fillId="0" borderId="47" xfId="14" applyFont="1" applyBorder="1" applyAlignment="1">
      <alignment horizontal="left"/>
    </xf>
    <xf numFmtId="0" fontId="25" fillId="0" borderId="22" xfId="14" applyFont="1" applyBorder="1" applyAlignment="1">
      <alignment horizontal="left"/>
    </xf>
    <xf numFmtId="0" fontId="3" fillId="15" borderId="31" xfId="18" applyFont="1" applyFill="1" applyBorder="1" applyAlignment="1">
      <alignment horizontal="center" vertical="center"/>
    </xf>
    <xf numFmtId="0" fontId="3" fillId="15" borderId="26" xfId="18" applyFont="1" applyFill="1" applyBorder="1" applyAlignment="1">
      <alignment horizontal="center" vertical="center"/>
    </xf>
    <xf numFmtId="0" fontId="3" fillId="15" borderId="27" xfId="18" applyFont="1" applyFill="1" applyBorder="1" applyAlignment="1">
      <alignment horizontal="center" vertical="center"/>
    </xf>
    <xf numFmtId="0" fontId="41" fillId="0" borderId="23" xfId="14" applyFont="1" applyBorder="1" applyAlignment="1">
      <alignment horizontal="center" vertical="center" wrapText="1"/>
    </xf>
    <xf numFmtId="0" fontId="41" fillId="0" borderId="24" xfId="14" applyFont="1" applyBorder="1" applyAlignment="1">
      <alignment horizontal="center" vertical="center" wrapText="1"/>
    </xf>
    <xf numFmtId="0" fontId="41" fillId="0" borderId="25" xfId="14" applyFont="1" applyBorder="1" applyAlignment="1">
      <alignment horizontal="center" vertical="center" wrapText="1"/>
    </xf>
    <xf numFmtId="0" fontId="44" fillId="0" borderId="31" xfId="15" applyFont="1" applyBorder="1" applyAlignment="1">
      <alignment horizontal="center"/>
    </xf>
    <xf numFmtId="0" fontId="44" fillId="0" borderId="34" xfId="15" applyFont="1" applyBorder="1" applyAlignment="1">
      <alignment horizontal="center"/>
    </xf>
    <xf numFmtId="0" fontId="44" fillId="0" borderId="25" xfId="15" applyFont="1" applyBorder="1" applyAlignment="1">
      <alignment horizontal="center"/>
    </xf>
    <xf numFmtId="0" fontId="33" fillId="0" borderId="35" xfId="15" applyBorder="1"/>
    <xf numFmtId="0" fontId="33" fillId="0" borderId="36" xfId="15" applyBorder="1"/>
    <xf numFmtId="0" fontId="33" fillId="0" borderId="37" xfId="15" applyBorder="1"/>
    <xf numFmtId="0" fontId="41" fillId="0" borderId="23" xfId="14" applyFont="1" applyBorder="1" applyAlignment="1">
      <alignment horizontal="center" vertical="center"/>
    </xf>
    <xf numFmtId="0" fontId="41" fillId="0" borderId="24" xfId="14" applyFont="1" applyBorder="1" applyAlignment="1">
      <alignment horizontal="center" vertical="center"/>
    </xf>
    <xf numFmtId="0" fontId="41" fillId="0" borderId="25" xfId="14" applyFont="1" applyBorder="1" applyAlignment="1">
      <alignment horizontal="center" vertical="center"/>
    </xf>
    <xf numFmtId="0" fontId="24" fillId="12" borderId="38" xfId="20" applyFont="1" applyFill="1" applyBorder="1" applyAlignment="1">
      <alignment horizontal="center" vertical="center" wrapText="1"/>
    </xf>
    <xf numFmtId="0" fontId="24" fillId="12" borderId="39" xfId="20" applyFont="1" applyFill="1" applyBorder="1" applyAlignment="1">
      <alignment horizontal="center" vertical="center" wrapText="1"/>
    </xf>
    <xf numFmtId="0" fontId="24" fillId="12" borderId="40" xfId="20" applyFont="1" applyFill="1" applyBorder="1" applyAlignment="1">
      <alignment horizontal="center" vertical="center" wrapText="1"/>
    </xf>
    <xf numFmtId="0" fontId="24" fillId="12" borderId="41" xfId="20" applyFont="1" applyFill="1" applyBorder="1" applyAlignment="1">
      <alignment horizontal="center" vertical="center" wrapText="1"/>
    </xf>
    <xf numFmtId="0" fontId="24" fillId="12" borderId="42" xfId="20" applyFont="1" applyFill="1" applyBorder="1" applyAlignment="1">
      <alignment horizontal="center" vertical="center" wrapText="1"/>
    </xf>
    <xf numFmtId="0" fontId="24" fillId="12" borderId="43" xfId="20" applyFont="1" applyFill="1" applyBorder="1" applyAlignment="1">
      <alignment horizontal="center" vertical="center" wrapText="1"/>
    </xf>
    <xf numFmtId="0" fontId="24" fillId="12" borderId="38" xfId="14" applyFont="1" applyFill="1" applyBorder="1" applyAlignment="1">
      <alignment horizontal="center" vertical="center" wrapText="1"/>
    </xf>
    <xf numFmtId="0" fontId="24" fillId="12" borderId="39" xfId="14" applyFont="1" applyFill="1" applyBorder="1" applyAlignment="1">
      <alignment horizontal="center" vertical="center" wrapText="1"/>
    </xf>
    <xf numFmtId="0" fontId="24" fillId="12" borderId="40" xfId="14" applyFont="1" applyFill="1" applyBorder="1" applyAlignment="1">
      <alignment horizontal="center" vertical="center" wrapText="1"/>
    </xf>
    <xf numFmtId="0" fontId="24" fillId="12" borderId="44" xfId="14" applyFont="1" applyFill="1" applyBorder="1" applyAlignment="1">
      <alignment horizontal="left" vertical="center" wrapText="1"/>
    </xf>
    <xf numFmtId="0" fontId="24" fillId="12" borderId="45" xfId="14" applyFont="1" applyFill="1" applyBorder="1" applyAlignment="1">
      <alignment horizontal="left" vertical="center" wrapText="1"/>
    </xf>
    <xf numFmtId="0" fontId="3" fillId="16" borderId="31" xfId="18" applyFont="1" applyFill="1" applyBorder="1" applyAlignment="1">
      <alignment horizontal="center" vertical="center" wrapText="1"/>
    </xf>
    <xf numFmtId="0" fontId="3" fillId="16" borderId="27" xfId="18" applyFont="1" applyFill="1" applyBorder="1" applyAlignment="1">
      <alignment horizontal="center" vertical="center" wrapText="1"/>
    </xf>
    <xf numFmtId="0" fontId="40" fillId="15" borderId="28" xfId="18" applyFont="1" applyFill="1" applyBorder="1" applyAlignment="1">
      <alignment horizontal="center" vertical="center"/>
    </xf>
    <xf numFmtId="0" fontId="40" fillId="15" borderId="29" xfId="18" applyFont="1" applyFill="1" applyBorder="1" applyAlignment="1">
      <alignment horizontal="center" vertical="center"/>
    </xf>
    <xf numFmtId="0" fontId="40" fillId="15" borderId="26" xfId="18" applyFont="1" applyFill="1" applyBorder="1" applyAlignment="1">
      <alignment horizontal="center" vertical="center"/>
    </xf>
    <xf numFmtId="0" fontId="40" fillId="15" borderId="27" xfId="18" applyFont="1" applyFill="1" applyBorder="1" applyAlignment="1">
      <alignment horizontal="center" vertical="center"/>
    </xf>
    <xf numFmtId="0" fontId="33" fillId="12" borderId="0" xfId="15" applyFill="1"/>
    <xf numFmtId="0" fontId="34" fillId="12" borderId="23" xfId="14" applyFont="1" applyFill="1" applyBorder="1" applyAlignment="1">
      <alignment horizontal="center" vertical="center" wrapText="1"/>
    </xf>
    <xf numFmtId="0" fontId="34" fillId="12" borderId="24" xfId="14" applyFont="1" applyFill="1" applyBorder="1" applyAlignment="1">
      <alignment horizontal="center" vertical="center" wrapText="1"/>
    </xf>
    <xf numFmtId="0" fontId="34" fillId="12" borderId="25" xfId="14" applyFont="1" applyFill="1" applyBorder="1" applyAlignment="1">
      <alignment horizontal="center" vertical="center" wrapText="1"/>
    </xf>
    <xf numFmtId="0" fontId="24" fillId="12" borderId="0" xfId="14" applyFont="1" applyFill="1" applyBorder="1" applyAlignment="1">
      <alignment horizontal="left" vertical="center" wrapText="1"/>
    </xf>
    <xf numFmtId="0" fontId="24" fillId="12" borderId="22" xfId="14" applyFont="1" applyFill="1" applyBorder="1" applyAlignment="1">
      <alignment horizontal="left" vertical="center" wrapText="1"/>
    </xf>
    <xf numFmtId="0" fontId="25" fillId="12" borderId="0" xfId="14" applyFont="1" applyFill="1" applyBorder="1" applyAlignment="1">
      <alignment horizontal="left" vertical="center" wrapText="1"/>
    </xf>
    <xf numFmtId="0" fontId="25" fillId="12" borderId="22" xfId="14" applyFont="1" applyFill="1" applyBorder="1" applyAlignment="1">
      <alignment horizontal="left" vertical="center" wrapText="1"/>
    </xf>
    <xf numFmtId="0" fontId="25" fillId="12" borderId="3" xfId="14" applyFont="1" applyFill="1" applyBorder="1" applyAlignment="1">
      <alignment vertical="center" wrapText="1"/>
    </xf>
    <xf numFmtId="0" fontId="25" fillId="12" borderId="0" xfId="14" applyFont="1" applyFill="1" applyBorder="1" applyAlignment="1">
      <alignment vertical="center" wrapText="1"/>
    </xf>
    <xf numFmtId="0" fontId="25" fillId="12" borderId="3" xfId="16" applyFont="1" applyFill="1" applyBorder="1" applyAlignment="1">
      <alignment horizontal="justify" vertical="center" wrapText="1"/>
    </xf>
    <xf numFmtId="0" fontId="25" fillId="12" borderId="0" xfId="16" applyFont="1" applyFill="1" applyBorder="1" applyAlignment="1">
      <alignment horizontal="justify" vertical="center" wrapText="1"/>
    </xf>
    <xf numFmtId="0" fontId="25" fillId="12" borderId="22" xfId="16" applyFont="1" applyFill="1" applyBorder="1" applyAlignment="1">
      <alignment horizontal="justify" vertical="center" wrapText="1"/>
    </xf>
    <xf numFmtId="0" fontId="33" fillId="12" borderId="22" xfId="15" applyFill="1" applyBorder="1"/>
    <xf numFmtId="0" fontId="12" fillId="14" borderId="19" xfId="18" applyFont="1" applyFill="1" applyBorder="1" applyAlignment="1">
      <alignment horizontal="center" vertical="center"/>
    </xf>
    <xf numFmtId="0" fontId="12" fillId="14" borderId="20" xfId="18" applyFont="1" applyFill="1" applyBorder="1" applyAlignment="1">
      <alignment horizontal="center" vertical="center"/>
    </xf>
    <xf numFmtId="0" fontId="12" fillId="14" borderId="26" xfId="18" applyFont="1" applyFill="1" applyBorder="1" applyAlignment="1">
      <alignment horizontal="center" vertical="center"/>
    </xf>
    <xf numFmtId="0" fontId="12" fillId="14" borderId="27" xfId="18" applyFont="1" applyFill="1" applyBorder="1" applyAlignment="1">
      <alignment horizontal="center" vertical="center"/>
    </xf>
    <xf numFmtId="0" fontId="32" fillId="13" borderId="3" xfId="14" applyFont="1" applyFill="1" applyBorder="1" applyAlignment="1">
      <alignment horizontal="center" vertical="center" wrapText="1"/>
    </xf>
    <xf numFmtId="0" fontId="32" fillId="13" borderId="0" xfId="14" applyFont="1" applyFill="1" applyBorder="1" applyAlignment="1">
      <alignment horizontal="center" vertical="center" wrapText="1"/>
    </xf>
    <xf numFmtId="0" fontId="32" fillId="13" borderId="22" xfId="14" applyFont="1" applyFill="1" applyBorder="1" applyAlignment="1">
      <alignment horizontal="center" vertical="center" wrapText="1"/>
    </xf>
    <xf numFmtId="0" fontId="26" fillId="0" borderId="0" xfId="14" applyFont="1" applyBorder="1" applyAlignment="1">
      <alignment vertical="center"/>
    </xf>
    <xf numFmtId="0" fontId="26" fillId="0" borderId="22" xfId="14" applyFont="1" applyBorder="1" applyAlignment="1">
      <alignment vertical="center"/>
    </xf>
    <xf numFmtId="0" fontId="27" fillId="12" borderId="3" xfId="14" applyFont="1" applyFill="1" applyBorder="1" applyAlignment="1">
      <alignment horizontal="left" wrapText="1"/>
    </xf>
    <xf numFmtId="0" fontId="27" fillId="12" borderId="0" xfId="14" applyFont="1" applyFill="1" applyBorder="1" applyAlignment="1">
      <alignment horizontal="left" wrapText="1"/>
    </xf>
    <xf numFmtId="0" fontId="29" fillId="12" borderId="3" xfId="14" applyFont="1" applyFill="1" applyBorder="1" applyAlignment="1">
      <alignment horizontal="left" wrapText="1"/>
    </xf>
    <xf numFmtId="0" fontId="29" fillId="12" borderId="0" xfId="14" applyFont="1" applyFill="1" applyBorder="1" applyAlignment="1">
      <alignment horizontal="left" wrapText="1"/>
    </xf>
    <xf numFmtId="0" fontId="30" fillId="12" borderId="3" xfId="14" applyFont="1" applyFill="1" applyBorder="1" applyAlignment="1">
      <alignment horizontal="left" wrapText="1"/>
    </xf>
    <xf numFmtId="0" fontId="30" fillId="12" borderId="0" xfId="14" applyFont="1" applyFill="1" applyBorder="1" applyAlignment="1">
      <alignment horizontal="left" wrapText="1"/>
    </xf>
    <xf numFmtId="0" fontId="48" fillId="0" borderId="11" xfId="10" applyFont="1" applyBorder="1" applyAlignment="1">
      <alignment horizontal="left" vertical="top" wrapText="1"/>
    </xf>
    <xf numFmtId="0" fontId="48" fillId="0" borderId="8" xfId="10" applyFont="1" applyBorder="1" applyAlignment="1">
      <alignment horizontal="left" vertical="top" wrapText="1"/>
    </xf>
    <xf numFmtId="0" fontId="48" fillId="0" borderId="12" xfId="10" applyFont="1" applyBorder="1" applyAlignment="1">
      <alignment horizontal="left" vertical="top" wrapText="1"/>
    </xf>
    <xf numFmtId="0" fontId="1" fillId="0" borderId="15" xfId="10" applyBorder="1" applyAlignment="1">
      <alignment horizontal="center" vertical="top" wrapText="1"/>
    </xf>
    <xf numFmtId="0" fontId="1" fillId="0" borderId="1" xfId="10" applyBorder="1" applyAlignment="1">
      <alignment horizontal="center" vertical="top" wrapText="1"/>
    </xf>
    <xf numFmtId="0" fontId="1" fillId="0" borderId="16" xfId="10" applyBorder="1" applyAlignment="1">
      <alignment horizontal="center" vertical="top" wrapText="1"/>
    </xf>
    <xf numFmtId="0" fontId="56" fillId="0" borderId="11" xfId="10" applyFont="1" applyBorder="1" applyAlignment="1">
      <alignment horizontal="justify" vertical="justify" wrapText="1"/>
    </xf>
    <xf numFmtId="0" fontId="56" fillId="0" borderId="8" xfId="10" applyFont="1" applyBorder="1" applyAlignment="1">
      <alignment horizontal="justify" vertical="justify" wrapText="1"/>
    </xf>
    <xf numFmtId="0" fontId="56" fillId="0" borderId="12" xfId="10" applyFont="1" applyBorder="1" applyAlignment="1">
      <alignment horizontal="justify" vertical="justify" wrapText="1"/>
    </xf>
    <xf numFmtId="0" fontId="56" fillId="0" borderId="13" xfId="10" applyFont="1" applyBorder="1" applyAlignment="1">
      <alignment horizontal="justify" vertical="justify" wrapText="1"/>
    </xf>
    <xf numFmtId="0" fontId="56" fillId="0" borderId="0" xfId="10" applyFont="1" applyAlignment="1">
      <alignment horizontal="justify" vertical="justify" wrapText="1"/>
    </xf>
    <xf numFmtId="0" fontId="56" fillId="0" borderId="14" xfId="10" applyFont="1" applyBorder="1" applyAlignment="1">
      <alignment horizontal="justify" vertical="justify" wrapText="1"/>
    </xf>
    <xf numFmtId="0" fontId="56" fillId="0" borderId="15" xfId="10" applyFont="1" applyBorder="1" applyAlignment="1">
      <alignment horizontal="justify" vertical="justify" wrapText="1"/>
    </xf>
    <xf numFmtId="0" fontId="56" fillId="0" borderId="1" xfId="10" applyFont="1" applyBorder="1" applyAlignment="1">
      <alignment horizontal="justify" vertical="justify" wrapText="1"/>
    </xf>
    <xf numFmtId="0" fontId="56" fillId="0" borderId="16" xfId="10" applyFont="1" applyBorder="1" applyAlignment="1">
      <alignment horizontal="justify" vertical="justify" wrapText="1"/>
    </xf>
    <xf numFmtId="0" fontId="48" fillId="0" borderId="0" xfId="10" applyFont="1" applyAlignment="1">
      <alignment horizontal="center" vertical="top" wrapText="1"/>
    </xf>
    <xf numFmtId="0" fontId="1" fillId="0" borderId="62" xfId="10" applyBorder="1" applyAlignment="1">
      <alignment horizontal="center" vertical="top" wrapText="1"/>
    </xf>
    <xf numFmtId="0" fontId="1" fillId="0" borderId="0" xfId="10" applyAlignment="1">
      <alignment horizontal="center" vertical="top" wrapText="1"/>
    </xf>
    <xf numFmtId="0" fontId="56" fillId="0" borderId="11" xfId="10" applyFont="1" applyBorder="1" applyAlignment="1">
      <alignment horizontal="justify" vertical="center" wrapText="1"/>
    </xf>
    <xf numFmtId="0" fontId="56" fillId="0" borderId="8" xfId="10" applyFont="1" applyBorder="1" applyAlignment="1">
      <alignment horizontal="justify" vertical="center" wrapText="1"/>
    </xf>
    <xf numFmtId="0" fontId="56" fillId="0" borderId="12" xfId="10" applyFont="1" applyBorder="1" applyAlignment="1">
      <alignment horizontal="justify" vertical="center" wrapText="1"/>
    </xf>
    <xf numFmtId="0" fontId="56" fillId="0" borderId="13" xfId="10" applyFont="1" applyBorder="1" applyAlignment="1">
      <alignment horizontal="justify" vertical="center" wrapText="1"/>
    </xf>
    <xf numFmtId="0" fontId="56" fillId="0" borderId="0" xfId="10" applyFont="1" applyAlignment="1">
      <alignment horizontal="justify" vertical="center" wrapText="1"/>
    </xf>
    <xf numFmtId="0" fontId="56" fillId="0" borderId="14" xfId="10" applyFont="1" applyBorder="1" applyAlignment="1">
      <alignment horizontal="justify" vertical="center" wrapText="1"/>
    </xf>
    <xf numFmtId="0" fontId="56" fillId="0" borderId="15" xfId="10" applyFont="1" applyBorder="1" applyAlignment="1">
      <alignment horizontal="justify" vertical="center" wrapText="1"/>
    </xf>
    <xf numFmtId="0" fontId="56" fillId="0" borderId="1" xfId="10" applyFont="1" applyBorder="1" applyAlignment="1">
      <alignment horizontal="justify" vertical="center" wrapText="1"/>
    </xf>
    <xf numFmtId="0" fontId="56" fillId="0" borderId="16" xfId="10" applyFont="1" applyBorder="1" applyAlignment="1">
      <alignment horizontal="justify" vertical="center" wrapText="1"/>
    </xf>
    <xf numFmtId="0" fontId="1" fillId="0" borderId="8" xfId="10" applyBorder="1" applyAlignment="1">
      <alignment horizontal="center" vertical="top" wrapText="1"/>
    </xf>
    <xf numFmtId="0" fontId="70" fillId="0" borderId="4" xfId="10" applyFont="1" applyBorder="1" applyAlignment="1">
      <alignment horizontal="center" vertical="center" wrapText="1"/>
    </xf>
    <xf numFmtId="0" fontId="70" fillId="0" borderId="5" xfId="10" applyFont="1" applyBorder="1" applyAlignment="1">
      <alignment horizontal="center" vertical="center" wrapText="1"/>
    </xf>
    <xf numFmtId="0" fontId="70" fillId="0" borderId="6" xfId="10" applyFont="1" applyBorder="1" applyAlignment="1">
      <alignment horizontal="center" vertical="center" wrapText="1"/>
    </xf>
    <xf numFmtId="0" fontId="48" fillId="0" borderId="11" xfId="10" applyFont="1" applyBorder="1" applyAlignment="1">
      <alignment horizontal="left" vertical="center" wrapText="1"/>
    </xf>
    <xf numFmtId="0" fontId="48" fillId="0" borderId="8" xfId="10" applyFont="1" applyBorder="1" applyAlignment="1">
      <alignment horizontal="left" vertical="center" wrapText="1"/>
    </xf>
    <xf numFmtId="0" fontId="48" fillId="0" borderId="12" xfId="10" applyFont="1" applyBorder="1" applyAlignment="1">
      <alignment horizontal="left" vertical="center" wrapText="1"/>
    </xf>
    <xf numFmtId="0" fontId="3" fillId="0" borderId="4" xfId="10" applyFont="1" applyBorder="1" applyAlignment="1">
      <alignment horizontal="left" vertical="center"/>
    </xf>
    <xf numFmtId="0" fontId="3" fillId="0" borderId="5" xfId="10" applyFont="1" applyBorder="1" applyAlignment="1">
      <alignment horizontal="left" vertical="center"/>
    </xf>
    <xf numFmtId="0" fontId="3" fillId="0" borderId="6" xfId="10" applyFont="1" applyBorder="1" applyAlignment="1">
      <alignment horizontal="left" vertical="center"/>
    </xf>
    <xf numFmtId="166" fontId="39" fillId="0" borderId="4" xfId="23" applyNumberFormat="1" applyFont="1" applyBorder="1" applyAlignment="1" applyProtection="1">
      <alignment horizontal="center" vertical="center"/>
    </xf>
    <xf numFmtId="166" fontId="39" fillId="0" borderId="6" xfId="23" applyNumberFormat="1" applyFont="1" applyBorder="1" applyAlignment="1" applyProtection="1">
      <alignment horizontal="center" vertical="center"/>
    </xf>
    <xf numFmtId="171" fontId="61" fillId="0" borderId="2" xfId="24" applyNumberFormat="1" applyFont="1" applyBorder="1" applyAlignment="1">
      <alignment horizontal="center" vertical="center"/>
    </xf>
    <xf numFmtId="1" fontId="3" fillId="0" borderId="2" xfId="10" applyNumberFormat="1" applyFont="1" applyBorder="1" applyAlignment="1">
      <alignment horizontal="center" vertical="center"/>
    </xf>
    <xf numFmtId="169" fontId="59" fillId="0" borderId="2" xfId="10" applyNumberFormat="1" applyFont="1" applyBorder="1" applyAlignment="1">
      <alignment horizontal="center" vertical="center"/>
    </xf>
    <xf numFmtId="0" fontId="69" fillId="0" borderId="4" xfId="18" applyFont="1" applyBorder="1" applyAlignment="1">
      <alignment horizontal="center" vertical="center" wrapText="1"/>
    </xf>
    <xf numFmtId="0" fontId="69" fillId="0" borderId="6" xfId="18" applyFont="1" applyBorder="1" applyAlignment="1">
      <alignment horizontal="center" vertical="center" wrapText="1"/>
    </xf>
    <xf numFmtId="166" fontId="39" fillId="0" borderId="5" xfId="23" applyNumberFormat="1" applyFont="1" applyBorder="1" applyAlignment="1" applyProtection="1">
      <alignment horizontal="center" vertical="center"/>
    </xf>
    <xf numFmtId="171" fontId="59" fillId="0" borderId="2" xfId="24" applyNumberFormat="1" applyFont="1" applyBorder="1" applyAlignment="1">
      <alignment horizontal="center" vertical="center"/>
    </xf>
    <xf numFmtId="169" fontId="12" fillId="0" borderId="13" xfId="10" applyNumberFormat="1" applyFont="1" applyBorder="1" applyAlignment="1">
      <alignment horizontal="center" vertical="center" wrapText="1"/>
    </xf>
    <xf numFmtId="169" fontId="12" fillId="0" borderId="0" xfId="10" applyNumberFormat="1" applyFont="1" applyAlignment="1">
      <alignment horizontal="center" vertical="center" wrapText="1"/>
    </xf>
    <xf numFmtId="169" fontId="61" fillId="0" borderId="2" xfId="10" applyNumberFormat="1" applyFont="1" applyBorder="1" applyAlignment="1">
      <alignment horizontal="center" vertical="center" wrapText="1"/>
    </xf>
    <xf numFmtId="0" fontId="1" fillId="5" borderId="8" xfId="10" applyFill="1" applyBorder="1" applyAlignment="1">
      <alignment horizontal="center" vertical="center" wrapText="1"/>
    </xf>
    <xf numFmtId="0" fontId="67" fillId="0" borderId="0" xfId="10" applyFont="1" applyAlignment="1">
      <alignment horizontal="left" vertical="center" wrapText="1"/>
    </xf>
    <xf numFmtId="0" fontId="21" fillId="0" borderId="0" xfId="10" applyFont="1" applyAlignment="1">
      <alignment horizontal="left" vertical="center" wrapText="1"/>
    </xf>
    <xf numFmtId="0" fontId="39" fillId="0" borderId="0" xfId="21" applyFont="1" applyAlignment="1">
      <alignment horizontal="center" vertical="center"/>
    </xf>
    <xf numFmtId="0" fontId="67" fillId="0" borderId="13" xfId="10" applyFont="1" applyBorder="1" applyAlignment="1">
      <alignment horizontal="left" vertical="center" wrapText="1"/>
    </xf>
    <xf numFmtId="0" fontId="39" fillId="0" borderId="4" xfId="18" applyFont="1" applyBorder="1" applyAlignment="1">
      <alignment horizontal="center" vertical="center"/>
    </xf>
    <xf numFmtId="0" fontId="39" fillId="0" borderId="5" xfId="18" applyFont="1" applyBorder="1" applyAlignment="1">
      <alignment horizontal="center" vertical="center"/>
    </xf>
    <xf numFmtId="0" fontId="39" fillId="0" borderId="6" xfId="18" applyFont="1" applyBorder="1" applyAlignment="1">
      <alignment horizontal="center" vertical="center"/>
    </xf>
    <xf numFmtId="171" fontId="13" fillId="5" borderId="4" xfId="24" applyNumberFormat="1" applyFont="1" applyFill="1" applyBorder="1" applyAlignment="1">
      <alignment horizontal="center" vertical="center"/>
    </xf>
    <xf numFmtId="171" fontId="13" fillId="5" borderId="5" xfId="24" applyNumberFormat="1" applyFont="1" applyFill="1" applyBorder="1" applyAlignment="1">
      <alignment horizontal="center" vertical="center"/>
    </xf>
    <xf numFmtId="171" fontId="13" fillId="5" borderId="6" xfId="24" applyNumberFormat="1" applyFont="1" applyFill="1" applyBorder="1" applyAlignment="1">
      <alignment horizontal="center" vertical="center"/>
    </xf>
    <xf numFmtId="169" fontId="12" fillId="5" borderId="4" xfId="10" applyNumberFormat="1" applyFont="1" applyFill="1" applyBorder="1" applyAlignment="1">
      <alignment horizontal="center"/>
    </xf>
    <xf numFmtId="169" fontId="12" fillId="5" borderId="5" xfId="10" applyNumberFormat="1" applyFont="1" applyFill="1" applyBorder="1" applyAlignment="1">
      <alignment horizontal="center"/>
    </xf>
    <xf numFmtId="169" fontId="12" fillId="5" borderId="6" xfId="10" applyNumberFormat="1" applyFont="1" applyFill="1" applyBorder="1" applyAlignment="1">
      <alignment horizontal="center"/>
    </xf>
    <xf numFmtId="171" fontId="12" fillId="5" borderId="15" xfId="24" applyNumberFormat="1" applyFont="1" applyFill="1" applyBorder="1" applyAlignment="1">
      <alignment horizontal="center"/>
    </xf>
    <xf numFmtId="171" fontId="12" fillId="5" borderId="1" xfId="24" applyNumberFormat="1" applyFont="1" applyFill="1" applyBorder="1" applyAlignment="1">
      <alignment horizontal="center"/>
    </xf>
    <xf numFmtId="171" fontId="12" fillId="5" borderId="16" xfId="24" applyNumberFormat="1" applyFont="1" applyFill="1" applyBorder="1" applyAlignment="1">
      <alignment horizontal="center"/>
    </xf>
    <xf numFmtId="171" fontId="12" fillId="5" borderId="4" xfId="24" applyNumberFormat="1" applyFont="1" applyFill="1" applyBorder="1" applyAlignment="1">
      <alignment horizontal="center" vertical="center"/>
    </xf>
    <xf numFmtId="171" fontId="12" fillId="5" borderId="5" xfId="24" applyNumberFormat="1" applyFont="1" applyFill="1" applyBorder="1" applyAlignment="1">
      <alignment horizontal="center" vertical="center"/>
    </xf>
    <xf numFmtId="171" fontId="12" fillId="5" borderId="6" xfId="24" applyNumberFormat="1" applyFont="1" applyFill="1" applyBorder="1" applyAlignment="1">
      <alignment horizontal="center" vertical="center"/>
    </xf>
    <xf numFmtId="0" fontId="12" fillId="0" borderId="2" xfId="10" applyFont="1" applyBorder="1" applyAlignment="1">
      <alignment horizontal="center" vertical="center"/>
    </xf>
    <xf numFmtId="0" fontId="12" fillId="0" borderId="2" xfId="10" applyFont="1" applyBorder="1" applyAlignment="1">
      <alignment horizontal="center" vertical="center" wrapText="1"/>
    </xf>
    <xf numFmtId="0" fontId="12" fillId="0" borderId="4" xfId="10" applyFont="1" applyBorder="1" applyAlignment="1">
      <alignment horizontal="center" vertical="center"/>
    </xf>
    <xf numFmtId="0" fontId="12" fillId="0" borderId="5" xfId="10" applyFont="1" applyBorder="1" applyAlignment="1">
      <alignment horizontal="center" vertical="center"/>
    </xf>
    <xf numFmtId="0" fontId="12" fillId="0" borderId="6" xfId="10" applyFont="1" applyBorder="1" applyAlignment="1">
      <alignment horizontal="center" vertical="center"/>
    </xf>
    <xf numFmtId="0" fontId="49" fillId="0" borderId="13" xfId="10" applyFont="1" applyBorder="1" applyAlignment="1">
      <alignment horizontal="center" vertical="top" wrapText="1"/>
    </xf>
    <xf numFmtId="0" fontId="49" fillId="0" borderId="0" xfId="10" applyFont="1" applyAlignment="1">
      <alignment horizontal="center" vertical="top" wrapText="1"/>
    </xf>
    <xf numFmtId="0" fontId="60" fillId="0" borderId="13" xfId="10" applyFont="1" applyBorder="1" applyAlignment="1">
      <alignment horizontal="center" vertical="top" wrapText="1"/>
    </xf>
    <xf numFmtId="0" fontId="60" fillId="0" borderId="0" xfId="10" applyFont="1" applyAlignment="1">
      <alignment horizontal="center" vertical="top" wrapText="1"/>
    </xf>
    <xf numFmtId="0" fontId="21" fillId="0" borderId="13" xfId="10" applyFont="1" applyBorder="1" applyAlignment="1">
      <alignment horizontal="center" vertical="center" wrapText="1"/>
    </xf>
    <xf numFmtId="0" fontId="21" fillId="0" borderId="0" xfId="10" applyFont="1" applyAlignment="1">
      <alignment horizontal="center" vertical="center" wrapText="1"/>
    </xf>
    <xf numFmtId="0" fontId="12" fillId="0" borderId="13" xfId="10" applyFont="1" applyBorder="1" applyAlignment="1">
      <alignment horizontal="center"/>
    </xf>
    <xf numFmtId="0" fontId="12" fillId="0" borderId="0" xfId="10" applyFont="1" applyAlignment="1">
      <alignment horizontal="center"/>
    </xf>
    <xf numFmtId="0" fontId="61" fillId="0" borderId="2" xfId="10" applyFont="1" applyBorder="1" applyAlignment="1">
      <alignment horizontal="center" vertical="center" wrapText="1"/>
    </xf>
    <xf numFmtId="0" fontId="48" fillId="0" borderId="2" xfId="10" applyFont="1" applyBorder="1" applyAlignment="1">
      <alignment horizontal="center" vertical="top" wrapText="1"/>
    </xf>
    <xf numFmtId="0" fontId="60" fillId="0" borderId="13" xfId="10" applyFont="1" applyBorder="1" applyAlignment="1">
      <alignment horizontal="justify" vertical="justify" wrapText="1"/>
    </xf>
    <xf numFmtId="0" fontId="60" fillId="0" borderId="0" xfId="10" applyFont="1" applyAlignment="1">
      <alignment horizontal="justify" vertical="justify" wrapText="1"/>
    </xf>
    <xf numFmtId="0" fontId="1" fillId="0" borderId="2" xfId="10" applyBorder="1" applyAlignment="1">
      <alignment horizontal="center" vertical="center" wrapText="1"/>
    </xf>
    <xf numFmtId="0" fontId="60" fillId="5" borderId="2" xfId="10" applyFont="1" applyFill="1" applyBorder="1" applyAlignment="1">
      <alignment horizontal="justify" vertical="justify" wrapText="1"/>
    </xf>
    <xf numFmtId="0" fontId="49" fillId="5" borderId="2" xfId="10" applyFont="1" applyFill="1" applyBorder="1" applyAlignment="1">
      <alignment horizontal="center" vertical="center" wrapText="1"/>
    </xf>
    <xf numFmtId="0" fontId="1" fillId="5" borderId="2" xfId="10" applyFill="1" applyBorder="1" applyAlignment="1">
      <alignment horizontal="center" vertical="center" wrapText="1"/>
    </xf>
    <xf numFmtId="0" fontId="60" fillId="5" borderId="2" xfId="10" applyFont="1" applyFill="1" applyBorder="1" applyAlignment="1">
      <alignment horizontal="justify" vertical="center" wrapText="1"/>
    </xf>
    <xf numFmtId="0" fontId="49" fillId="0" borderId="2" xfId="10" applyFont="1" applyBorder="1" applyAlignment="1">
      <alignment horizontal="center" vertical="center" wrapText="1"/>
    </xf>
    <xf numFmtId="0" fontId="49" fillId="5" borderId="62" xfId="10" applyFont="1" applyFill="1" applyBorder="1" applyAlignment="1">
      <alignment horizontal="center" vertical="center" wrapText="1"/>
    </xf>
    <xf numFmtId="0" fontId="49" fillId="5" borderId="0" xfId="10" applyFont="1" applyFill="1" applyAlignment="1">
      <alignment horizontal="center" vertical="center" wrapText="1"/>
    </xf>
    <xf numFmtId="0" fontId="49" fillId="5" borderId="64" xfId="10" applyFont="1" applyFill="1" applyBorder="1" applyAlignment="1">
      <alignment horizontal="center" vertical="center" wrapText="1"/>
    </xf>
    <xf numFmtId="0" fontId="60" fillId="11" borderId="4" xfId="10" applyFont="1" applyFill="1" applyBorder="1" applyAlignment="1">
      <alignment horizontal="justify" vertical="center" wrapText="1"/>
    </xf>
    <xf numFmtId="0" fontId="1" fillId="11" borderId="5" xfId="10" applyFill="1" applyBorder="1" applyAlignment="1">
      <alignment horizontal="justify" vertical="center" wrapText="1"/>
    </xf>
    <xf numFmtId="0" fontId="1" fillId="11" borderId="6" xfId="10" applyFill="1" applyBorder="1" applyAlignment="1">
      <alignment horizontal="justify" vertical="center" wrapText="1"/>
    </xf>
    <xf numFmtId="0" fontId="48" fillId="5" borderId="11" xfId="10" applyFont="1" applyFill="1" applyBorder="1" applyAlignment="1">
      <alignment horizontal="center" vertical="center" wrapText="1"/>
    </xf>
    <xf numFmtId="0" fontId="48" fillId="5" borderId="8" xfId="10" applyFont="1" applyFill="1" applyBorder="1" applyAlignment="1">
      <alignment horizontal="center" vertical="center" wrapText="1"/>
    </xf>
    <xf numFmtId="0" fontId="48" fillId="5" borderId="12" xfId="10" applyFont="1" applyFill="1" applyBorder="1" applyAlignment="1">
      <alignment horizontal="center" vertical="center" wrapText="1"/>
    </xf>
    <xf numFmtId="0" fontId="1" fillId="5" borderId="11" xfId="10" applyFill="1" applyBorder="1" applyAlignment="1">
      <alignment horizontal="center" vertical="top"/>
    </xf>
    <xf numFmtId="0" fontId="1" fillId="5" borderId="8" xfId="10" applyFill="1" applyBorder="1" applyAlignment="1">
      <alignment horizontal="center" vertical="top"/>
    </xf>
    <xf numFmtId="0" fontId="1" fillId="5" borderId="12" xfId="10" applyFill="1" applyBorder="1" applyAlignment="1">
      <alignment horizontal="center" vertical="top"/>
    </xf>
    <xf numFmtId="0" fontId="39" fillId="0" borderId="2" xfId="21" applyFont="1" applyBorder="1" applyAlignment="1">
      <alignment horizontal="justify" vertical="justify" wrapText="1"/>
    </xf>
    <xf numFmtId="0" fontId="1" fillId="0" borderId="2" xfId="10" applyBorder="1" applyAlignment="1">
      <alignment horizontal="center" vertical="top" wrapText="1"/>
    </xf>
    <xf numFmtId="0" fontId="59" fillId="5" borderId="2" xfId="10" applyFont="1" applyFill="1" applyBorder="1" applyAlignment="1">
      <alignment horizontal="center" vertical="center" wrapText="1"/>
    </xf>
    <xf numFmtId="0" fontId="60" fillId="5" borderId="4" xfId="10" applyFont="1" applyFill="1" applyBorder="1" applyAlignment="1">
      <alignment horizontal="justify" vertical="center" wrapText="1"/>
    </xf>
    <xf numFmtId="0" fontId="1" fillId="5" borderId="5" xfId="10" applyFill="1" applyBorder="1" applyAlignment="1">
      <alignment horizontal="justify" vertical="center" wrapText="1"/>
    </xf>
    <xf numFmtId="0" fontId="1" fillId="5" borderId="6" xfId="10" applyFill="1" applyBorder="1" applyAlignment="1">
      <alignment horizontal="justify" vertical="center" wrapText="1"/>
    </xf>
    <xf numFmtId="0" fontId="49" fillId="0" borderId="15" xfId="10" applyFont="1" applyBorder="1" applyAlignment="1">
      <alignment horizontal="center" vertical="top" wrapText="1"/>
    </xf>
    <xf numFmtId="0" fontId="48" fillId="0" borderId="4" xfId="10" applyFont="1" applyBorder="1" applyAlignment="1">
      <alignment horizontal="center" vertical="top" wrapText="1"/>
    </xf>
    <xf numFmtId="0" fontId="48" fillId="0" borderId="5" xfId="10" applyFont="1" applyBorder="1" applyAlignment="1">
      <alignment horizontal="center" vertical="top" wrapText="1"/>
    </xf>
    <xf numFmtId="0" fontId="48" fillId="0" borderId="6" xfId="10" applyFont="1" applyBorder="1" applyAlignment="1">
      <alignment horizontal="center" vertical="top" wrapText="1"/>
    </xf>
    <xf numFmtId="0" fontId="47" fillId="0" borderId="13" xfId="21" applyFont="1" applyBorder="1" applyAlignment="1">
      <alignment horizontal="left" vertical="center"/>
    </xf>
    <xf numFmtId="0" fontId="47" fillId="0" borderId="0" xfId="21" applyFont="1" applyAlignment="1">
      <alignment horizontal="left" vertical="center"/>
    </xf>
    <xf numFmtId="0" fontId="39" fillId="0" borderId="0" xfId="21" applyFont="1" applyAlignment="1">
      <alignment horizontal="left" vertical="top" wrapText="1"/>
    </xf>
    <xf numFmtId="0" fontId="39" fillId="0" borderId="14" xfId="21" applyFont="1" applyBorder="1" applyAlignment="1">
      <alignment horizontal="left" vertical="top" wrapText="1"/>
    </xf>
    <xf numFmtId="0" fontId="39" fillId="0" borderId="0" xfId="21" applyFont="1" applyAlignment="1">
      <alignment horizontal="center" vertical="top" wrapText="1"/>
    </xf>
    <xf numFmtId="0" fontId="39" fillId="0" borderId="14" xfId="21" applyFont="1" applyBorder="1" applyAlignment="1">
      <alignment horizontal="center" vertical="top" wrapText="1"/>
    </xf>
    <xf numFmtId="0" fontId="48" fillId="11" borderId="15" xfId="10" applyFont="1" applyFill="1" applyBorder="1" applyAlignment="1">
      <alignment horizontal="center" vertical="top" wrapText="1"/>
    </xf>
    <xf numFmtId="0" fontId="21" fillId="11" borderId="1" xfId="10" applyFont="1" applyFill="1" applyBorder="1" applyAlignment="1">
      <alignment horizontal="center" vertical="top" wrapText="1"/>
    </xf>
    <xf numFmtId="0" fontId="21" fillId="11" borderId="16" xfId="10" applyFont="1" applyFill="1" applyBorder="1" applyAlignment="1">
      <alignment horizontal="center" vertical="top" wrapText="1"/>
    </xf>
    <xf numFmtId="1" fontId="51" fillId="11" borderId="2" xfId="21" applyNumberFormat="1" applyFont="1" applyFill="1" applyBorder="1" applyAlignment="1">
      <alignment horizontal="center" vertical="center" shrinkToFit="1"/>
    </xf>
    <xf numFmtId="0" fontId="39" fillId="11" borderId="2" xfId="21" applyFont="1" applyFill="1" applyBorder="1" applyAlignment="1">
      <alignment horizontal="center" vertical="top" wrapText="1"/>
    </xf>
    <xf numFmtId="166" fontId="49" fillId="11" borderId="2" xfId="21" applyNumberFormat="1" applyFont="1" applyFill="1" applyBorder="1" applyAlignment="1">
      <alignment horizontal="center" vertical="center" wrapText="1"/>
    </xf>
    <xf numFmtId="166" fontId="48" fillId="11" borderId="2" xfId="21" applyNumberFormat="1" applyFont="1" applyFill="1" applyBorder="1" applyAlignment="1">
      <alignment horizontal="center" vertical="center" wrapText="1"/>
    </xf>
    <xf numFmtId="166" fontId="57" fillId="11" borderId="2" xfId="21" applyNumberFormat="1" applyFont="1" applyFill="1" applyBorder="1" applyAlignment="1">
      <alignment horizontal="center" vertical="center" wrapText="1"/>
    </xf>
    <xf numFmtId="0" fontId="48" fillId="0" borderId="2" xfId="10" applyFont="1" applyBorder="1" applyAlignment="1">
      <alignment horizontal="center" vertical="center" wrapText="1"/>
    </xf>
    <xf numFmtId="0" fontId="39" fillId="0" borderId="5" xfId="21" applyFont="1" applyBorder="1" applyAlignment="1">
      <alignment horizontal="center" vertical="center"/>
    </xf>
    <xf numFmtId="0" fontId="48" fillId="11" borderId="2" xfId="21" applyFont="1" applyFill="1" applyBorder="1" applyAlignment="1">
      <alignment horizontal="center" vertical="center" wrapText="1"/>
    </xf>
    <xf numFmtId="0" fontId="48" fillId="11" borderId="2" xfId="21" applyFont="1" applyFill="1" applyBorder="1" applyAlignment="1">
      <alignment horizontal="center" vertical="top" wrapText="1"/>
    </xf>
    <xf numFmtId="0" fontId="57" fillId="11" borderId="2" xfId="21" applyFont="1" applyFill="1" applyBorder="1" applyAlignment="1">
      <alignment horizontal="center" vertical="top" wrapText="1"/>
    </xf>
    <xf numFmtId="8" fontId="48" fillId="0" borderId="2" xfId="10" applyNumberFormat="1" applyFont="1" applyBorder="1" applyAlignment="1">
      <alignment horizontal="center" vertical="top" wrapText="1"/>
    </xf>
    <xf numFmtId="166" fontId="48" fillId="0" borderId="2" xfId="10" applyNumberFormat="1" applyFont="1" applyBorder="1" applyAlignment="1">
      <alignment horizontal="center" vertical="top" wrapText="1"/>
    </xf>
    <xf numFmtId="0" fontId="49" fillId="0" borderId="2" xfId="10" applyFont="1" applyBorder="1" applyAlignment="1">
      <alignment horizontal="center" vertical="top" wrapText="1"/>
    </xf>
    <xf numFmtId="8" fontId="49" fillId="0" borderId="2" xfId="10" applyNumberFormat="1" applyFont="1" applyBorder="1" applyAlignment="1">
      <alignment horizontal="center" vertical="center" wrapText="1"/>
    </xf>
    <xf numFmtId="0" fontId="48" fillId="0" borderId="8" xfId="10" applyFont="1" applyBorder="1" applyAlignment="1">
      <alignment horizontal="center" vertical="center" wrapText="1"/>
    </xf>
    <xf numFmtId="0" fontId="1" fillId="0" borderId="8" xfId="10" applyBorder="1" applyAlignment="1">
      <alignment horizontal="center" vertical="center" wrapText="1"/>
    </xf>
    <xf numFmtId="0" fontId="21" fillId="0" borderId="8" xfId="10" applyFont="1" applyBorder="1" applyAlignment="1">
      <alignment horizontal="left" vertical="center" wrapText="1"/>
    </xf>
    <xf numFmtId="0" fontId="48" fillId="0" borderId="62" xfId="21" applyFont="1" applyBorder="1" applyAlignment="1">
      <alignment horizontal="center" vertical="center" wrapText="1"/>
    </xf>
    <xf numFmtId="0" fontId="48" fillId="0" borderId="0" xfId="21" applyFont="1" applyAlignment="1">
      <alignment horizontal="center" vertical="center" wrapText="1"/>
    </xf>
    <xf numFmtId="0" fontId="49" fillId="0" borderId="2" xfId="21" applyFont="1" applyBorder="1" applyAlignment="1">
      <alignment horizontal="justify" vertical="center" wrapText="1"/>
    </xf>
    <xf numFmtId="0" fontId="3" fillId="0" borderId="2" xfId="10" applyFont="1" applyBorder="1" applyAlignment="1">
      <alignment horizontal="center" vertical="center" wrapText="1"/>
    </xf>
    <xf numFmtId="0" fontId="56" fillId="0" borderId="2" xfId="10" applyFont="1" applyBorder="1" applyAlignment="1">
      <alignment horizontal="center" vertical="center" wrapText="1"/>
    </xf>
    <xf numFmtId="0" fontId="49" fillId="0" borderId="2" xfId="21" applyFont="1" applyBorder="1" applyAlignment="1">
      <alignment horizontal="center" vertical="center" wrapText="1"/>
    </xf>
    <xf numFmtId="0" fontId="49" fillId="0" borderId="2" xfId="21" applyFont="1" applyBorder="1" applyAlignment="1">
      <alignment horizontal="justify" vertical="justify" wrapText="1"/>
    </xf>
    <xf numFmtId="0" fontId="39" fillId="0" borderId="0" xfId="21" applyFont="1" applyAlignment="1">
      <alignment horizontal="center" vertical="center" wrapText="1"/>
    </xf>
    <xf numFmtId="0" fontId="39" fillId="0" borderId="62" xfId="21" applyFont="1" applyBorder="1" applyAlignment="1">
      <alignment horizontal="center" vertical="center" wrapText="1"/>
    </xf>
    <xf numFmtId="0" fontId="48" fillId="0" borderId="31" xfId="21" applyFont="1" applyBorder="1" applyAlignment="1">
      <alignment horizontal="center" vertical="center" wrapText="1"/>
    </xf>
    <xf numFmtId="0" fontId="39" fillId="0" borderId="26" xfId="21" applyFont="1" applyBorder="1" applyAlignment="1">
      <alignment horizontal="center" vertical="center" wrapText="1"/>
    </xf>
    <xf numFmtId="0" fontId="39" fillId="0" borderId="27" xfId="21" applyFont="1" applyBorder="1" applyAlignment="1">
      <alignment horizontal="center" vertical="center" wrapText="1"/>
    </xf>
    <xf numFmtId="0" fontId="48" fillId="0" borderId="18" xfId="21" applyFont="1" applyBorder="1" applyAlignment="1">
      <alignment horizontal="center" vertical="center" wrapText="1"/>
    </xf>
    <xf numFmtId="0" fontId="39" fillId="0" borderId="11" xfId="21" applyFont="1" applyBorder="1" applyAlignment="1">
      <alignment horizontal="center" vertical="center" wrapText="1"/>
    </xf>
    <xf numFmtId="0" fontId="39" fillId="0" borderId="8" xfId="21" applyFont="1" applyBorder="1" applyAlignment="1">
      <alignment horizontal="center" vertical="center" wrapText="1"/>
    </xf>
    <xf numFmtId="0" fontId="39" fillId="0" borderId="12" xfId="21" applyFont="1" applyBorder="1" applyAlignment="1">
      <alignment horizontal="center" vertical="center" wrapText="1"/>
    </xf>
    <xf numFmtId="0" fontId="51" fillId="0" borderId="15" xfId="21" applyFont="1" applyBorder="1" applyAlignment="1">
      <alignment horizontal="center" vertical="center" wrapText="1"/>
    </xf>
    <xf numFmtId="0" fontId="39" fillId="0" borderId="1" xfId="21" applyFont="1" applyBorder="1" applyAlignment="1">
      <alignment horizontal="center" vertical="center" wrapText="1"/>
    </xf>
    <xf numFmtId="0" fontId="39" fillId="0" borderId="16" xfId="21" applyFont="1" applyBorder="1" applyAlignment="1">
      <alignment horizontal="center" vertical="center" wrapText="1"/>
    </xf>
    <xf numFmtId="0" fontId="51" fillId="0" borderId="0" xfId="21" applyFont="1" applyAlignment="1">
      <alignment horizontal="left" wrapText="1"/>
    </xf>
    <xf numFmtId="0" fontId="51" fillId="5" borderId="2" xfId="21" applyFont="1" applyFill="1" applyBorder="1" applyAlignment="1">
      <alignment horizontal="left" vertical="center" wrapText="1"/>
    </xf>
    <xf numFmtId="0" fontId="39" fillId="0" borderId="2" xfId="21" applyFont="1" applyBorder="1" applyAlignment="1">
      <alignment horizontal="center" vertical="center" wrapText="1"/>
    </xf>
    <xf numFmtId="0" fontId="51" fillId="0" borderId="0" xfId="21" applyFont="1" applyAlignment="1">
      <alignment horizontal="center" vertical="center" wrapText="1"/>
    </xf>
    <xf numFmtId="0" fontId="39" fillId="0" borderId="0" xfId="21" applyFont="1" applyAlignment="1">
      <alignment horizontal="left" wrapText="1"/>
    </xf>
    <xf numFmtId="0" fontId="49" fillId="0" borderId="0" xfId="21" applyFont="1" applyAlignment="1">
      <alignment horizontal="center" vertical="center" wrapText="1"/>
    </xf>
    <xf numFmtId="0" fontId="47" fillId="0" borderId="0" xfId="21" applyFont="1" applyAlignment="1">
      <alignment horizontal="center" vertical="center"/>
    </xf>
    <xf numFmtId="0" fontId="49" fillId="0" borderId="0" xfId="21" applyFont="1" applyAlignment="1">
      <alignment horizontal="left" vertical="center" wrapText="1"/>
    </xf>
    <xf numFmtId="0" fontId="39" fillId="0" borderId="0" xfId="21" applyFont="1" applyAlignment="1">
      <alignment horizontal="left" vertical="center" wrapText="1"/>
    </xf>
    <xf numFmtId="0" fontId="49" fillId="0" borderId="62" xfId="21" applyFont="1" applyBorder="1" applyAlignment="1">
      <alignment horizontal="center" vertical="center" wrapText="1"/>
    </xf>
    <xf numFmtId="0" fontId="18" fillId="7" borderId="0" xfId="7" applyFont="1" applyFill="1" applyAlignment="1">
      <alignment horizontal="left" vertical="center" wrapText="1"/>
    </xf>
    <xf numFmtId="165" fontId="18" fillId="7" borderId="0" xfId="11" applyFont="1" applyFill="1" applyAlignment="1">
      <alignment horizontal="left" vertical="center" wrapText="1"/>
    </xf>
    <xf numFmtId="0" fontId="12" fillId="7" borderId="0" xfId="7" applyFont="1" applyFill="1" applyAlignment="1" applyProtection="1">
      <alignment horizontal="left" vertical="center" wrapText="1"/>
      <protection locked="0"/>
    </xf>
    <xf numFmtId="0" fontId="9" fillId="0" borderId="0" xfId="10" applyFont="1" applyAlignment="1">
      <alignment horizontal="left"/>
    </xf>
    <xf numFmtId="0" fontId="17" fillId="9" borderId="0" xfId="7" applyFont="1" applyFill="1" applyAlignment="1" applyProtection="1">
      <alignment horizontal="center" vertical="center" wrapText="1"/>
      <protection locked="0"/>
    </xf>
    <xf numFmtId="0" fontId="18" fillId="7" borderId="0" xfId="7" applyFont="1" applyFill="1" applyAlignment="1">
      <alignment horizontal="center" vertical="center" wrapText="1"/>
    </xf>
    <xf numFmtId="0" fontId="9" fillId="0" borderId="0" xfId="10" applyFont="1"/>
    <xf numFmtId="0" fontId="17" fillId="9" borderId="0" xfId="7" applyFont="1" applyFill="1" applyAlignment="1">
      <alignment horizontal="center" vertical="center" wrapText="1"/>
    </xf>
    <xf numFmtId="0" fontId="19" fillId="0" borderId="2" xfId="7" applyFont="1" applyBorder="1" applyAlignment="1" applyProtection="1">
      <alignment horizontal="center" vertical="center" wrapText="1"/>
      <protection locked="0"/>
    </xf>
    <xf numFmtId="0" fontId="19" fillId="0" borderId="2" xfId="12" applyFont="1" applyBorder="1" applyAlignment="1">
      <alignment horizontal="center" vertical="center" wrapText="1"/>
    </xf>
    <xf numFmtId="0" fontId="4" fillId="0" borderId="1" xfId="4" applyFont="1" applyBorder="1" applyAlignment="1">
      <alignment horizontal="center" vertical="center"/>
    </xf>
    <xf numFmtId="0" fontId="3" fillId="2" borderId="2" xfId="4" applyFont="1" applyFill="1" applyBorder="1" applyAlignment="1">
      <alignment horizontal="center" vertical="center"/>
    </xf>
    <xf numFmtId="14" fontId="4" fillId="0" borderId="2" xfId="4" applyNumberFormat="1" applyFont="1" applyBorder="1" applyAlignment="1">
      <alignment horizontal="center" vertical="center"/>
    </xf>
    <xf numFmtId="0" fontId="4" fillId="0" borderId="2" xfId="4" applyFont="1" applyBorder="1" applyAlignment="1">
      <alignment horizontal="center" vertical="center"/>
    </xf>
    <xf numFmtId="0" fontId="4" fillId="0" borderId="2" xfId="4" applyFont="1" applyBorder="1" applyAlignment="1">
      <alignment horizontal="center" vertical="center" wrapText="1"/>
    </xf>
    <xf numFmtId="164" fontId="4" fillId="0" borderId="2" xfId="4" applyNumberFormat="1" applyFont="1" applyBorder="1" applyAlignment="1">
      <alignment horizontal="center" vertical="center"/>
    </xf>
    <xf numFmtId="0" fontId="3" fillId="4" borderId="2" xfId="4" applyFont="1" applyFill="1" applyBorder="1" applyAlignment="1">
      <alignment horizontal="center" vertical="center"/>
    </xf>
    <xf numFmtId="0" fontId="3" fillId="0" borderId="2" xfId="4" applyFont="1" applyBorder="1" applyAlignment="1">
      <alignment horizontal="center" vertical="center"/>
    </xf>
    <xf numFmtId="0" fontId="3" fillId="6" borderId="3" xfId="4" applyFont="1" applyFill="1" applyBorder="1" applyAlignment="1">
      <alignment horizontal="center" vertical="center"/>
    </xf>
    <xf numFmtId="0" fontId="3" fillId="6" borderId="0" xfId="4" applyFont="1" applyFill="1" applyAlignment="1">
      <alignment horizontal="center" vertical="center"/>
    </xf>
    <xf numFmtId="0" fontId="4" fillId="0" borderId="0" xfId="4" applyFont="1" applyAlignment="1">
      <alignment horizontal="center" vertical="center"/>
    </xf>
    <xf numFmtId="0" fontId="3" fillId="3" borderId="2" xfId="4" applyFont="1" applyFill="1" applyBorder="1" applyAlignment="1">
      <alignment horizontal="center" vertical="center"/>
    </xf>
    <xf numFmtId="0" fontId="3" fillId="6" borderId="9" xfId="4" applyFont="1" applyFill="1" applyBorder="1" applyAlignment="1">
      <alignment horizontal="center" vertical="center"/>
    </xf>
    <xf numFmtId="0" fontId="3" fillId="6" borderId="5" xfId="4" applyFont="1" applyFill="1" applyBorder="1" applyAlignment="1">
      <alignment horizontal="center" vertical="center"/>
    </xf>
    <xf numFmtId="0" fontId="4" fillId="0" borderId="2" xfId="4" applyFont="1" applyBorder="1" applyAlignment="1">
      <alignment horizontal="left" vertical="center"/>
    </xf>
    <xf numFmtId="0" fontId="7" fillId="11" borderId="2" xfId="4" applyFont="1" applyFill="1" applyBorder="1" applyAlignment="1">
      <alignment horizontal="center" vertical="center"/>
    </xf>
    <xf numFmtId="0" fontId="3" fillId="6" borderId="7" xfId="4" applyFont="1" applyFill="1" applyBorder="1" applyAlignment="1">
      <alignment horizontal="center" vertical="center"/>
    </xf>
    <xf numFmtId="0" fontId="3" fillId="6" borderId="8" xfId="4" applyFont="1" applyFill="1" applyBorder="1" applyAlignment="1">
      <alignment horizontal="center" vertical="center"/>
    </xf>
    <xf numFmtId="0" fontId="3" fillId="6" borderId="10" xfId="4" applyFont="1" applyFill="1" applyBorder="1" applyAlignment="1">
      <alignment horizontal="center" vertical="center"/>
    </xf>
    <xf numFmtId="0" fontId="3" fillId="6" borderId="1" xfId="4" applyFont="1" applyFill="1" applyBorder="1" applyAlignment="1">
      <alignment horizontal="center" vertical="center"/>
    </xf>
    <xf numFmtId="0" fontId="4" fillId="0" borderId="0" xfId="4" applyFont="1" applyAlignment="1">
      <alignment horizontal="left" vertical="center"/>
    </xf>
    <xf numFmtId="0" fontId="3" fillId="0" borderId="4" xfId="4" applyFont="1" applyBorder="1" applyAlignment="1">
      <alignment horizontal="center" vertical="center"/>
    </xf>
    <xf numFmtId="0" fontId="3" fillId="0" borderId="5" xfId="4" applyFont="1" applyBorder="1" applyAlignment="1">
      <alignment horizontal="center" vertical="center"/>
    </xf>
    <xf numFmtId="0" fontId="3" fillId="0" borderId="0" xfId="4" applyFont="1" applyAlignment="1">
      <alignment horizontal="center" vertical="center"/>
    </xf>
    <xf numFmtId="0" fontId="3" fillId="0" borderId="0" xfId="4" applyFont="1" applyAlignment="1">
      <alignment horizontal="center"/>
    </xf>
    <xf numFmtId="0" fontId="4" fillId="0" borderId="0" xfId="4" applyFont="1" applyAlignment="1">
      <alignment horizontal="center"/>
    </xf>
    <xf numFmtId="0" fontId="3" fillId="6" borderId="2" xfId="4" applyFont="1" applyFill="1" applyBorder="1" applyAlignment="1">
      <alignment horizontal="center" vertical="center"/>
    </xf>
    <xf numFmtId="0" fontId="3" fillId="6" borderId="4" xfId="4" applyFont="1" applyFill="1" applyBorder="1" applyAlignment="1">
      <alignment horizontal="center" vertical="center"/>
    </xf>
    <xf numFmtId="0" fontId="9" fillId="8" borderId="17" xfId="0" applyFont="1" applyFill="1" applyBorder="1" applyAlignment="1">
      <alignment horizontal="center" vertical="center"/>
    </xf>
    <xf numFmtId="0" fontId="9" fillId="8" borderId="18" xfId="0" applyFont="1" applyFill="1" applyBorder="1" applyAlignment="1">
      <alignment horizontal="center" vertical="center"/>
    </xf>
    <xf numFmtId="0" fontId="12" fillId="5" borderId="2" xfId="7" applyFont="1" applyFill="1" applyBorder="1" applyAlignment="1">
      <alignment horizontal="center" vertical="center" wrapText="1"/>
    </xf>
    <xf numFmtId="0" fontId="10" fillId="5" borderId="0" xfId="7" applyFont="1" applyFill="1" applyAlignment="1">
      <alignment horizontal="center" vertical="center" wrapText="1"/>
    </xf>
    <xf numFmtId="0" fontId="11" fillId="5" borderId="0" xfId="7" applyFont="1" applyFill="1" applyAlignment="1">
      <alignment horizontal="center" vertical="center" wrapText="1"/>
    </xf>
    <xf numFmtId="0" fontId="12" fillId="8" borderId="2" xfId="7" applyFont="1" applyFill="1" applyBorder="1" applyAlignment="1">
      <alignment horizontal="center" vertical="center" wrapText="1"/>
    </xf>
    <xf numFmtId="0" fontId="15" fillId="5" borderId="8" xfId="7" applyFont="1" applyFill="1" applyBorder="1" applyAlignment="1">
      <alignment horizontal="left" vertical="center" wrapText="1"/>
    </xf>
    <xf numFmtId="169" fontId="73" fillId="0" borderId="4" xfId="0" applyNumberFormat="1" applyFont="1" applyBorder="1" applyAlignment="1">
      <alignment horizontal="center" vertical="center" wrapText="1"/>
    </xf>
    <xf numFmtId="169" fontId="73" fillId="0" borderId="5" xfId="0" applyNumberFormat="1" applyFont="1" applyBorder="1" applyAlignment="1">
      <alignment horizontal="center" vertical="center" wrapText="1"/>
    </xf>
    <xf numFmtId="169" fontId="73" fillId="0" borderId="6" xfId="0" applyNumberFormat="1" applyFont="1" applyBorder="1" applyAlignment="1">
      <alignment horizontal="center" vertical="center" wrapText="1"/>
    </xf>
    <xf numFmtId="169" fontId="70" fillId="0" borderId="4" xfId="0" applyNumberFormat="1" applyFont="1" applyBorder="1" applyAlignment="1">
      <alignment horizontal="center" vertical="justify" wrapText="1"/>
    </xf>
    <xf numFmtId="169" fontId="70" fillId="0" borderId="5" xfId="0" applyNumberFormat="1" applyFont="1" applyBorder="1" applyAlignment="1">
      <alignment horizontal="center" vertical="justify" wrapText="1"/>
    </xf>
    <xf numFmtId="169" fontId="70" fillId="0" borderId="6" xfId="0" applyNumberFormat="1" applyFont="1" applyBorder="1" applyAlignment="1">
      <alignment horizontal="center" vertical="justify" wrapText="1"/>
    </xf>
    <xf numFmtId="0" fontId="21" fillId="5" borderId="4" xfId="0" applyFont="1" applyFill="1" applyBorder="1" applyAlignment="1">
      <alignment horizontal="center" vertical="center" wrapText="1"/>
    </xf>
    <xf numFmtId="0" fontId="21" fillId="5" borderId="5" xfId="0" applyFont="1" applyFill="1" applyBorder="1" applyAlignment="1">
      <alignment horizontal="center" vertical="center" wrapText="1"/>
    </xf>
    <xf numFmtId="0" fontId="21" fillId="5" borderId="6" xfId="0" applyFont="1" applyFill="1" applyBorder="1" applyAlignment="1">
      <alignment horizontal="center" vertical="center" wrapText="1"/>
    </xf>
    <xf numFmtId="0" fontId="76" fillId="0" borderId="4" xfId="0" applyFont="1" applyBorder="1" applyAlignment="1">
      <alignment horizontal="left" vertical="center"/>
    </xf>
    <xf numFmtId="0" fontId="76" fillId="0" borderId="5" xfId="0" applyFont="1" applyBorder="1" applyAlignment="1">
      <alignment horizontal="left" vertical="center"/>
    </xf>
    <xf numFmtId="0" fontId="76" fillId="0" borderId="6" xfId="0" applyFont="1" applyBorder="1" applyAlignment="1">
      <alignment horizontal="left" vertical="center"/>
    </xf>
    <xf numFmtId="0" fontId="12" fillId="7" borderId="4" xfId="7" applyFont="1" applyFill="1" applyBorder="1" applyAlignment="1">
      <alignment horizontal="center" vertical="center" wrapText="1"/>
    </xf>
    <xf numFmtId="0" fontId="12" fillId="7" borderId="5" xfId="7" applyFont="1" applyFill="1" applyBorder="1" applyAlignment="1">
      <alignment horizontal="center" vertical="center" wrapText="1"/>
    </xf>
    <xf numFmtId="0" fontId="12" fillId="5" borderId="4" xfId="7" applyFont="1" applyFill="1" applyBorder="1" applyAlignment="1">
      <alignment horizontal="center" vertical="center" wrapText="1"/>
    </xf>
    <xf numFmtId="0" fontId="12" fillId="5" borderId="5" xfId="7" applyFont="1" applyFill="1" applyBorder="1" applyAlignment="1">
      <alignment horizontal="center" vertical="center" wrapText="1"/>
    </xf>
  </cellXfs>
  <cellStyles count="25">
    <cellStyle name="Excel Built-in Explanatory Text" xfId="22" xr:uid="{C36049A4-63FB-4918-94A9-322BDCCCC382}"/>
    <cellStyle name="Hyperlink 2 2 2" xfId="16" xr:uid="{B3A03E47-9ACD-4EDB-B171-3232C9E81996}"/>
    <cellStyle name="Moeda" xfId="2" builtinId="4"/>
    <cellStyle name="Moeda 2" xfId="19" xr:uid="{DD00810A-BC10-4780-B526-B8A9F3E863D9}"/>
    <cellStyle name="Moeda 2 2" xfId="8" xr:uid="{C94E308D-0E42-4951-BA5D-76E9699B53A1}"/>
    <cellStyle name="Moeda 2 3" xfId="24" xr:uid="{7A3C878C-EAB2-4A10-B578-EC6E5DFAB9AC}"/>
    <cellStyle name="Moeda 3" xfId="6" xr:uid="{0E1F6FCF-99CC-452F-B44B-FAAE483F0D7F}"/>
    <cellStyle name="Moeda 4" xfId="13" xr:uid="{B037C1A9-3E22-4B86-8C2F-E0775FE11B6E}"/>
    <cellStyle name="Moeda 5" xfId="11" xr:uid="{04E7A2F3-19DE-4860-8BD6-334EB70A6061}"/>
    <cellStyle name="Normal" xfId="0" builtinId="0"/>
    <cellStyle name="Normal 11 2" xfId="17" xr:uid="{3DC975EC-E0A5-40DD-82C6-54855E9193CB}"/>
    <cellStyle name="Normal 2" xfId="4" xr:uid="{956B86FD-C4FB-4051-B58E-7AA8F8F3AF4E}"/>
    <cellStyle name="Normal 2 2" xfId="7" xr:uid="{C7E03494-EAE7-4338-B7D3-BBE812086A90}"/>
    <cellStyle name="Normal 2 2 25" xfId="20" xr:uid="{CEEF6595-48F8-415D-ABE3-02E95D2D90A6}"/>
    <cellStyle name="Normal 2 3" xfId="15" xr:uid="{4C0C362D-B57F-4AE0-B837-15156F9E399F}"/>
    <cellStyle name="Normal 2 3 2 14" xfId="14" xr:uid="{F414EE5B-82EB-4E0B-BEA6-45935EFF07BE}"/>
    <cellStyle name="Normal 3" xfId="10" xr:uid="{BF4D3A8B-08D3-4386-84E0-EAB76BBF9C0B}"/>
    <cellStyle name="Normal 4" xfId="9" xr:uid="{F9655842-70BA-4B1B-880C-215FDFBF1C0F}"/>
    <cellStyle name="Normal 5" xfId="12" xr:uid="{8D88610A-1B39-49B0-949A-EC96363F76FC}"/>
    <cellStyle name="Normal 6" xfId="18" xr:uid="{C2E52787-CA97-4288-9226-978B8E6BF415}"/>
    <cellStyle name="Normal 9" xfId="21" xr:uid="{328D1691-CF55-4189-81D2-D46F2B555684}"/>
    <cellStyle name="Porcentagem" xfId="3" builtinId="5"/>
    <cellStyle name="Porcentagem 2" xfId="5" xr:uid="{DDA783DC-9588-4848-977C-DF90BB283A26}"/>
    <cellStyle name="Vírgula" xfId="1" builtinId="3"/>
    <cellStyle name="Vírgula 2" xfId="23" xr:uid="{072804D0-5DDE-44E4-A5A1-FE2BE531E30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1</xdr:col>
      <xdr:colOff>161925</xdr:colOff>
      <xdr:row>0</xdr:row>
      <xdr:rowOff>66675</xdr:rowOff>
    </xdr:from>
    <xdr:ext cx="1039956" cy="939509"/>
    <xdr:pic>
      <xdr:nvPicPr>
        <xdr:cNvPr id="2" name="Imagem 1">
          <a:extLst>
            <a:ext uri="{FF2B5EF4-FFF2-40B4-BE49-F238E27FC236}">
              <a16:creationId xmlns:a16="http://schemas.microsoft.com/office/drawing/2014/main" id="{A0389860-EEF7-4B70-9E28-995582B629B0}"/>
            </a:ext>
          </a:extLst>
        </xdr:cNvPr>
        <xdr:cNvPicPr>
          <a:picLocks noChangeAspect="1"/>
        </xdr:cNvPicPr>
      </xdr:nvPicPr>
      <xdr:blipFill>
        <a:blip xmlns:r="http://schemas.openxmlformats.org/officeDocument/2006/relationships" r:embed="rId1"/>
        <a:srcRect/>
        <a:stretch>
          <a:fillRect/>
        </a:stretch>
      </xdr:blipFill>
      <xdr:spPr>
        <a:xfrm>
          <a:off x="476250" y="66675"/>
          <a:ext cx="1039956" cy="939509"/>
        </a:xfrm>
        <a:prstGeom prst="rect">
          <a:avLst/>
        </a:prstGeom>
        <a:noFill/>
        <a:ln cap="flat">
          <a:noFill/>
        </a:ln>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1211036</xdr:colOff>
      <xdr:row>23</xdr:row>
      <xdr:rowOff>0</xdr:rowOff>
    </xdr:from>
    <xdr:to>
      <xdr:col>1</xdr:col>
      <xdr:colOff>1211036</xdr:colOff>
      <xdr:row>27</xdr:row>
      <xdr:rowOff>191860</xdr:rowOff>
    </xdr:to>
    <xdr:pic>
      <xdr:nvPicPr>
        <xdr:cNvPr id="2" name="Imagem 1">
          <a:extLst>
            <a:ext uri="{FF2B5EF4-FFF2-40B4-BE49-F238E27FC236}">
              <a16:creationId xmlns:a16="http://schemas.microsoft.com/office/drawing/2014/main" id="{B944820D-5357-47EB-AF23-1EE62DD7512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6361" y="15169243"/>
          <a:ext cx="0" cy="991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Luciene%20Cristina\Meu%20Drive\COMERCIAL\VIPPIM%20VIGIL&#194;NCIA\CONTRATOS\1.%20PUBLICOS\VIGIL&#194;NCIA\11&#186;%20CJM%20CT%2011.2020%20-%20OK\REPACTUA&#199;&#195;O\2023\2%20-%20Planilha%20Repactuada-CJM.xlsx" TargetMode="External"/><Relationship Id="rId1" Type="http://schemas.openxmlformats.org/officeDocument/2006/relationships/externalLinkPath" Target="file:///C:\Users\Luciene%20Cristina\Meu%20Drive\COMERCIAL\VIPPIM%20VIGIL&#194;NCIA\CONTRATOS\1.%20PUBLICOS\VIGIL&#194;NCIA\11&#186;%20CJM%20CT%2011.2020%20-%20OK\REPACTUA&#199;&#195;O\2023\2%20-%20Planilha%20Repactuada-CJM.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G:\Meu%20Drive\COMERCIAL\VIPPIM%20VIGIL&#194;NCIA\PREG&#213;ES\2024\VIGIL&#194;NCIA\ANA\1%20-%20PROPOSTA%20LANCE\2%20-%20Planilha%20inicial%20ANA.xlsx" TargetMode="External"/><Relationship Id="rId1" Type="http://schemas.openxmlformats.org/officeDocument/2006/relationships/externalLinkPath" Target="/Meu%20Drive/COMERCIAL/VIPPIM%20VIGIL&#194;NCIA/PREG&#213;ES/2024/VIGIL&#194;NCIA/ANA/1%20-%20PROPOSTA%20LANCE/2%20-%20Planilha%20inicial%20AN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oposta Cadastro"/>
      <sheetName val="Conta vinculada CJM"/>
      <sheetName val="Proposta"/>
      <sheetName val="Anexo VIII"/>
      <sheetName val="44hs D"/>
      <sheetName val="12x36 DA"/>
      <sheetName val="12X36 NA"/>
      <sheetName val="44HS DA"/>
      <sheetName val="44HS DD"/>
      <sheetName val="3.Resumo"/>
      <sheetName val="4.Quadro"/>
      <sheetName val="Uniformes -IV"/>
      <sheetName val="Equipamentos-IV"/>
      <sheetName val="Anexo VI"/>
      <sheetName val="Memória de Cálculo"/>
      <sheetName val="ES Metodologia"/>
      <sheetName val="FATUR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9">
          <cell r="E9">
            <v>21</v>
          </cell>
          <cell r="F9" t="str">
            <v>R$ 5,50</v>
          </cell>
        </row>
        <row r="10">
          <cell r="F10" t="str">
            <v>R$ 5,50</v>
          </cell>
        </row>
        <row r="15">
          <cell r="E15">
            <v>15</v>
          </cell>
          <cell r="F15" t="str">
            <v>R$ 5,50</v>
          </cell>
        </row>
        <row r="16">
          <cell r="E16">
            <v>15</v>
          </cell>
          <cell r="F16" t="str">
            <v>R$ 5,50</v>
          </cell>
        </row>
      </sheetData>
      <sheetData sheetId="14"/>
      <sheetData sheetId="15">
        <row r="12">
          <cell r="B12">
            <v>0.2</v>
          </cell>
        </row>
        <row r="13">
          <cell r="B13">
            <v>2.5000000000000001E-2</v>
          </cell>
        </row>
        <row r="14">
          <cell r="B14">
            <v>1.4999999999999999E-2</v>
          </cell>
        </row>
        <row r="15">
          <cell r="B15">
            <v>1.4999999999999999E-2</v>
          </cell>
        </row>
        <row r="16">
          <cell r="B16">
            <v>0.01</v>
          </cell>
        </row>
        <row r="17">
          <cell r="B17">
            <v>6.0000000000000001E-3</v>
          </cell>
        </row>
        <row r="18">
          <cell r="B18">
            <v>2E-3</v>
          </cell>
        </row>
        <row r="19">
          <cell r="B19">
            <v>0.08</v>
          </cell>
        </row>
      </sheetData>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NÁLISE"/>
      <sheetName val="Proposta"/>
      <sheetName val="Resumo"/>
      <sheetName val="Memória de Cálculo ES"/>
      <sheetName val="Planilha de Custos"/>
      <sheetName val="Insumos"/>
    </sheetNames>
    <sheetDataSet>
      <sheetData sheetId="0"/>
      <sheetData sheetId="1"/>
      <sheetData sheetId="2"/>
      <sheetData sheetId="3"/>
      <sheetData sheetId="4">
        <row r="126">
          <cell r="C126">
            <v>8892.36</v>
          </cell>
          <cell r="D126">
            <v>7174.76</v>
          </cell>
          <cell r="E126">
            <v>7858.54</v>
          </cell>
        </row>
      </sheetData>
      <sheetData sheetId="5"/>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8" Type="http://schemas.openxmlformats.org/officeDocument/2006/relationships/hyperlink" Target="http://www.planalto.gov.br/ccivil_03/_Ato2019-2022/2020/Mpv/mpv932.htm" TargetMode="External"/><Relationship Id="rId3" Type="http://schemas.openxmlformats.org/officeDocument/2006/relationships/hyperlink" Target="http://www.planalto.gov.br/ccivil_03/decreto-lei/Del5452.htm" TargetMode="External"/><Relationship Id="rId7" Type="http://schemas.openxmlformats.org/officeDocument/2006/relationships/hyperlink" Target="http://www.planalto.gov.br/ccivil_03/_Ato2019-2022/2020/Mpv/mpv932.htm" TargetMode="External"/><Relationship Id="rId2" Type="http://schemas.openxmlformats.org/officeDocument/2006/relationships/hyperlink" Target="http://www.planalto.gov.br/ccivil_03/decreto-lei/Del5452.htm" TargetMode="External"/><Relationship Id="rId1" Type="http://schemas.openxmlformats.org/officeDocument/2006/relationships/hyperlink" Target="http://www.planalto.gov.br/ccivil_03/decreto-lei/Del5452.htm" TargetMode="External"/><Relationship Id="rId6" Type="http://schemas.openxmlformats.org/officeDocument/2006/relationships/hyperlink" Target="http://www.planalto.gov.br/ccivil_03/decreto-lei/Del5452.htm" TargetMode="External"/><Relationship Id="rId5" Type="http://schemas.openxmlformats.org/officeDocument/2006/relationships/hyperlink" Target="http://www.planalto.gov.br/ccivil_03/decreto-lei/Del5452.htm" TargetMode="External"/><Relationship Id="rId10" Type="http://schemas.openxmlformats.org/officeDocument/2006/relationships/printerSettings" Target="../printerSettings/printerSettings2.bin"/><Relationship Id="rId4" Type="http://schemas.openxmlformats.org/officeDocument/2006/relationships/hyperlink" Target="http://www.planalto.gov.br/ccivil_03/decreto-lei/Del5452.htm" TargetMode="External"/><Relationship Id="rId9" Type="http://schemas.openxmlformats.org/officeDocument/2006/relationships/hyperlink" Target="http://www.planalto.gov.br/ccivil_03/decreto-lei/Del5452.ht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FAE3C7-44C8-4BF2-ACEF-C2BC493A1220}">
  <dimension ref="A1:IW54"/>
  <sheetViews>
    <sheetView showGridLines="0" tabSelected="1" view="pageBreakPreview" zoomScaleNormal="100" zoomScaleSheetLayoutView="100" workbookViewId="0">
      <selection activeCell="A30" sqref="A30:K30"/>
    </sheetView>
  </sheetViews>
  <sheetFormatPr defaultColWidth="10.28515625" defaultRowHeight="15" x14ac:dyDescent="0.2"/>
  <cols>
    <col min="1" max="1" width="4.7109375" style="107" customWidth="1"/>
    <col min="2" max="2" width="6.42578125" style="107" customWidth="1"/>
    <col min="3" max="3" width="11.5703125" style="107" customWidth="1"/>
    <col min="4" max="4" width="17.28515625" style="107" customWidth="1"/>
    <col min="5" max="5" width="15.5703125" style="107" customWidth="1"/>
    <col min="6" max="7" width="13.140625" style="107" customWidth="1"/>
    <col min="8" max="8" width="15.7109375" style="107" customWidth="1"/>
    <col min="9" max="9" width="13.85546875" style="107" customWidth="1"/>
    <col min="10" max="10" width="16.7109375" style="107" customWidth="1"/>
    <col min="11" max="11" width="20.85546875" style="107" customWidth="1"/>
    <col min="12" max="12" width="17.28515625" style="107" customWidth="1"/>
    <col min="13" max="237" width="10.28515625" style="107" customWidth="1"/>
    <col min="238" max="238" width="3.28515625" style="107" customWidth="1"/>
    <col min="239" max="239" width="29" style="107" customWidth="1"/>
    <col min="240" max="240" width="14" style="107" customWidth="1"/>
    <col min="241" max="241" width="11.28515625" style="107" customWidth="1"/>
    <col min="242" max="242" width="16.7109375" style="107" customWidth="1"/>
    <col min="243" max="243" width="8.85546875" style="107" customWidth="1"/>
    <col min="244" max="244" width="29" style="107" customWidth="1"/>
    <col min="245" max="245" width="10.28515625" style="107" customWidth="1"/>
    <col min="246" max="16384" width="10.28515625" style="107"/>
  </cols>
  <sheetData>
    <row r="1" spans="1:237" ht="15.75" x14ac:dyDescent="0.25">
      <c r="A1" s="103"/>
      <c r="B1" s="104"/>
      <c r="C1" s="104"/>
      <c r="D1" s="104"/>
      <c r="E1" s="105"/>
      <c r="F1" s="105"/>
      <c r="G1" s="105"/>
      <c r="H1" s="105"/>
      <c r="I1" s="105"/>
      <c r="J1" s="105"/>
      <c r="K1" s="106"/>
    </row>
    <row r="2" spans="1:237" ht="30.75" x14ac:dyDescent="0.2">
      <c r="A2" s="108"/>
      <c r="B2" s="109"/>
      <c r="C2" s="109"/>
      <c r="D2" s="306" t="s">
        <v>222</v>
      </c>
      <c r="E2" s="306"/>
      <c r="F2" s="306"/>
      <c r="G2" s="306"/>
      <c r="H2" s="306"/>
      <c r="I2" s="306"/>
      <c r="J2" s="306"/>
      <c r="K2" s="307"/>
    </row>
    <row r="3" spans="1:237" ht="15.75" x14ac:dyDescent="0.25">
      <c r="A3" s="108"/>
      <c r="B3" s="109"/>
      <c r="C3" s="109"/>
      <c r="D3" s="109"/>
      <c r="E3" s="110"/>
      <c r="F3" s="110"/>
      <c r="G3" s="110"/>
      <c r="H3" s="109"/>
      <c r="I3" s="109"/>
      <c r="J3" s="110"/>
      <c r="K3" s="111"/>
    </row>
    <row r="4" spans="1:237" ht="15.75" x14ac:dyDescent="0.25">
      <c r="A4" s="108"/>
      <c r="B4" s="109"/>
      <c r="C4" s="109"/>
      <c r="D4" s="109"/>
      <c r="E4" s="110"/>
      <c r="F4" s="110"/>
      <c r="G4" s="110"/>
      <c r="H4" s="109"/>
      <c r="I4" s="109"/>
      <c r="J4" s="110"/>
      <c r="K4" s="111"/>
    </row>
    <row r="5" spans="1:237" ht="15.75" x14ac:dyDescent="0.25">
      <c r="A5" s="308" t="s">
        <v>223</v>
      </c>
      <c r="B5" s="309"/>
      <c r="C5" s="309"/>
      <c r="D5" s="309"/>
      <c r="E5" s="309"/>
      <c r="F5" s="309"/>
      <c r="G5" s="309"/>
      <c r="H5" s="309"/>
      <c r="I5" s="309"/>
      <c r="J5" s="309"/>
      <c r="K5" s="111"/>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2"/>
      <c r="AR5" s="112"/>
      <c r="AS5" s="112"/>
      <c r="AT5" s="112"/>
      <c r="AU5" s="112"/>
      <c r="AV5" s="112"/>
      <c r="AW5" s="112"/>
      <c r="AX5" s="112"/>
      <c r="AY5" s="112"/>
      <c r="AZ5" s="112"/>
      <c r="BA5" s="112"/>
      <c r="BB5" s="112"/>
      <c r="BC5" s="112"/>
      <c r="BD5" s="112"/>
      <c r="BE5" s="112"/>
      <c r="BF5" s="112"/>
      <c r="BG5" s="112"/>
      <c r="BH5" s="112"/>
      <c r="BI5" s="112"/>
      <c r="BJ5" s="112"/>
      <c r="BK5" s="112"/>
      <c r="BL5" s="112"/>
      <c r="BM5" s="112"/>
      <c r="BN5" s="112"/>
      <c r="BO5" s="112"/>
      <c r="BP5" s="112"/>
      <c r="BQ5" s="112"/>
      <c r="BR5" s="112"/>
      <c r="BS5" s="112"/>
      <c r="BT5" s="112"/>
      <c r="BU5" s="112"/>
      <c r="BV5" s="112"/>
      <c r="BW5" s="112"/>
      <c r="BX5" s="112"/>
      <c r="BY5" s="112"/>
      <c r="BZ5" s="112"/>
      <c r="CA5" s="112"/>
      <c r="CB5" s="112"/>
      <c r="CC5" s="112"/>
      <c r="CD5" s="112"/>
      <c r="CE5" s="112"/>
      <c r="CF5" s="112"/>
      <c r="CG5" s="112"/>
      <c r="CH5" s="112"/>
      <c r="CI5" s="112"/>
      <c r="CJ5" s="112"/>
      <c r="CK5" s="112"/>
      <c r="CL5" s="112"/>
      <c r="CM5" s="112"/>
      <c r="CN5" s="112"/>
      <c r="CO5" s="112"/>
      <c r="CP5" s="112"/>
      <c r="CQ5" s="112"/>
      <c r="CR5" s="112"/>
      <c r="CS5" s="112"/>
      <c r="CT5" s="112"/>
      <c r="CU5" s="112"/>
      <c r="CV5" s="112"/>
      <c r="CW5" s="112"/>
      <c r="CX5" s="112"/>
      <c r="CY5" s="112"/>
      <c r="CZ5" s="112"/>
      <c r="DA5" s="112"/>
      <c r="DB5" s="112"/>
      <c r="DC5" s="112"/>
      <c r="DD5" s="112"/>
      <c r="DE5" s="112"/>
      <c r="DF5" s="112"/>
      <c r="DG5" s="112"/>
      <c r="DH5" s="112"/>
      <c r="DI5" s="112"/>
      <c r="DJ5" s="112"/>
      <c r="DK5" s="112"/>
      <c r="DL5" s="112"/>
      <c r="DM5" s="112"/>
      <c r="DN5" s="112"/>
      <c r="DO5" s="112"/>
      <c r="DP5" s="112"/>
      <c r="DQ5" s="112"/>
      <c r="DR5" s="112"/>
      <c r="DS5" s="112"/>
      <c r="DT5" s="112"/>
      <c r="DU5" s="112"/>
      <c r="DV5" s="112"/>
      <c r="DW5" s="112"/>
      <c r="DX5" s="112"/>
      <c r="DY5" s="112"/>
      <c r="DZ5" s="112"/>
      <c r="EA5" s="112"/>
      <c r="EB5" s="112"/>
      <c r="EC5" s="112"/>
      <c r="ED5" s="112"/>
      <c r="EE5" s="112"/>
      <c r="EF5" s="112"/>
      <c r="EG5" s="112"/>
      <c r="EH5" s="112"/>
      <c r="EI5" s="112"/>
      <c r="EJ5" s="112"/>
      <c r="EK5" s="112"/>
      <c r="EL5" s="112"/>
      <c r="EM5" s="112"/>
      <c r="EN5" s="112"/>
      <c r="EO5" s="112"/>
      <c r="EP5" s="112"/>
      <c r="EQ5" s="112"/>
      <c r="ER5" s="112"/>
      <c r="ES5" s="112"/>
      <c r="ET5" s="112"/>
      <c r="EU5" s="112"/>
      <c r="EV5" s="112"/>
      <c r="EW5" s="112"/>
      <c r="EX5" s="112"/>
      <c r="EY5" s="112"/>
      <c r="EZ5" s="112"/>
      <c r="FA5" s="112"/>
      <c r="FB5" s="112"/>
      <c r="FC5" s="112"/>
      <c r="FD5" s="112"/>
      <c r="FE5" s="112"/>
      <c r="FF5" s="112"/>
      <c r="FG5" s="112"/>
      <c r="FH5" s="112"/>
      <c r="FI5" s="112"/>
      <c r="FJ5" s="112"/>
      <c r="FK5" s="112"/>
      <c r="FL5" s="112"/>
      <c r="FM5" s="112"/>
      <c r="FN5" s="112"/>
      <c r="FO5" s="112"/>
      <c r="FP5" s="112"/>
      <c r="FQ5" s="112"/>
      <c r="FR5" s="112"/>
      <c r="FS5" s="112"/>
      <c r="FT5" s="112"/>
      <c r="FU5" s="112"/>
      <c r="FV5" s="112"/>
      <c r="FW5" s="112"/>
      <c r="FX5" s="112"/>
      <c r="FY5" s="112"/>
      <c r="FZ5" s="112"/>
      <c r="GA5" s="112"/>
      <c r="GB5" s="112"/>
      <c r="GC5" s="112"/>
      <c r="GD5" s="112"/>
      <c r="GE5" s="112"/>
      <c r="GF5" s="112"/>
      <c r="GG5" s="112"/>
      <c r="GH5" s="112"/>
      <c r="GI5" s="112"/>
      <c r="GJ5" s="112"/>
      <c r="GK5" s="112"/>
      <c r="GL5" s="112"/>
      <c r="GM5" s="112"/>
      <c r="GN5" s="112"/>
      <c r="GO5" s="112"/>
      <c r="GP5" s="112"/>
      <c r="GQ5" s="112"/>
      <c r="GR5" s="112"/>
      <c r="GS5" s="112"/>
      <c r="GT5" s="112"/>
      <c r="GU5" s="112"/>
      <c r="GV5" s="112"/>
      <c r="GW5" s="112"/>
      <c r="GX5" s="112"/>
      <c r="GY5" s="112"/>
      <c r="GZ5" s="112"/>
      <c r="HA5" s="112"/>
      <c r="HB5" s="112"/>
      <c r="HC5" s="112"/>
      <c r="HD5" s="112"/>
      <c r="HE5" s="112"/>
      <c r="HF5" s="112"/>
      <c r="HG5" s="112"/>
      <c r="HH5" s="112"/>
      <c r="HI5" s="112"/>
      <c r="HJ5" s="112"/>
      <c r="HK5" s="112"/>
      <c r="HL5" s="112"/>
      <c r="HM5" s="112"/>
      <c r="HN5" s="112"/>
      <c r="HO5" s="112"/>
      <c r="HP5" s="112"/>
      <c r="HQ5" s="112"/>
      <c r="HR5" s="112"/>
      <c r="HS5" s="112"/>
      <c r="HT5" s="112"/>
      <c r="HU5" s="112"/>
      <c r="HV5" s="112"/>
      <c r="HW5" s="112"/>
      <c r="HX5" s="112"/>
      <c r="HY5" s="112"/>
      <c r="HZ5" s="112"/>
      <c r="IA5" s="112"/>
      <c r="IB5" s="112"/>
      <c r="IC5" s="112"/>
    </row>
    <row r="6" spans="1:237" ht="18" x14ac:dyDescent="0.25">
      <c r="A6" s="310" t="s">
        <v>460</v>
      </c>
      <c r="B6" s="311"/>
      <c r="C6" s="311"/>
      <c r="D6" s="311"/>
      <c r="E6" s="311"/>
      <c r="F6" s="311"/>
      <c r="G6" s="311"/>
      <c r="H6" s="311"/>
      <c r="I6" s="311"/>
      <c r="J6" s="311"/>
      <c r="K6" s="111"/>
      <c r="L6" s="112"/>
      <c r="M6" s="112"/>
      <c r="N6" s="112"/>
      <c r="O6" s="112"/>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c r="BD6" s="112"/>
      <c r="BE6" s="112"/>
      <c r="BF6" s="112"/>
      <c r="BG6" s="112"/>
      <c r="BH6" s="112"/>
      <c r="BI6" s="112"/>
      <c r="BJ6" s="112"/>
      <c r="BK6" s="112"/>
      <c r="BL6" s="112"/>
      <c r="BM6" s="112"/>
      <c r="BN6" s="112"/>
      <c r="BO6" s="112"/>
      <c r="BP6" s="112"/>
      <c r="BQ6" s="112"/>
      <c r="BR6" s="112"/>
      <c r="BS6" s="112"/>
      <c r="BT6" s="112"/>
      <c r="BU6" s="112"/>
      <c r="BV6" s="112"/>
      <c r="BW6" s="112"/>
      <c r="BX6" s="112"/>
      <c r="BY6" s="112"/>
      <c r="BZ6" s="112"/>
      <c r="CA6" s="112"/>
      <c r="CB6" s="112"/>
      <c r="CC6" s="112"/>
      <c r="CD6" s="112"/>
      <c r="CE6" s="112"/>
      <c r="CF6" s="112"/>
      <c r="CG6" s="112"/>
      <c r="CH6" s="112"/>
      <c r="CI6" s="112"/>
      <c r="CJ6" s="112"/>
      <c r="CK6" s="112"/>
      <c r="CL6" s="112"/>
      <c r="CM6" s="112"/>
      <c r="CN6" s="112"/>
      <c r="CO6" s="112"/>
      <c r="CP6" s="112"/>
      <c r="CQ6" s="112"/>
      <c r="CR6" s="112"/>
      <c r="CS6" s="112"/>
      <c r="CT6" s="112"/>
      <c r="CU6" s="112"/>
      <c r="CV6" s="112"/>
      <c r="CW6" s="112"/>
      <c r="CX6" s="112"/>
      <c r="CY6" s="112"/>
      <c r="CZ6" s="112"/>
      <c r="DA6" s="112"/>
      <c r="DB6" s="112"/>
      <c r="DC6" s="112"/>
      <c r="DD6" s="112"/>
      <c r="DE6" s="112"/>
      <c r="DF6" s="112"/>
      <c r="DG6" s="112"/>
      <c r="DH6" s="112"/>
      <c r="DI6" s="112"/>
      <c r="DJ6" s="112"/>
      <c r="DK6" s="112"/>
      <c r="DL6" s="112"/>
      <c r="DM6" s="112"/>
      <c r="DN6" s="112"/>
      <c r="DO6" s="112"/>
      <c r="DP6" s="112"/>
      <c r="DQ6" s="112"/>
      <c r="DR6" s="112"/>
      <c r="DS6" s="112"/>
      <c r="DT6" s="112"/>
      <c r="DU6" s="112"/>
      <c r="DV6" s="112"/>
      <c r="DW6" s="112"/>
      <c r="DX6" s="112"/>
      <c r="DY6" s="112"/>
      <c r="DZ6" s="112"/>
      <c r="EA6" s="112"/>
      <c r="EB6" s="112"/>
      <c r="EC6" s="112"/>
      <c r="ED6" s="112"/>
      <c r="EE6" s="112"/>
      <c r="EF6" s="112"/>
      <c r="EG6" s="112"/>
      <c r="EH6" s="112"/>
      <c r="EI6" s="112"/>
      <c r="EJ6" s="112"/>
      <c r="EK6" s="112"/>
      <c r="EL6" s="112"/>
      <c r="EM6" s="112"/>
      <c r="EN6" s="112"/>
      <c r="EO6" s="112"/>
      <c r="EP6" s="112"/>
      <c r="EQ6" s="112"/>
      <c r="ER6" s="112"/>
      <c r="ES6" s="112"/>
      <c r="ET6" s="112"/>
      <c r="EU6" s="112"/>
      <c r="EV6" s="112"/>
      <c r="EW6" s="112"/>
      <c r="EX6" s="112"/>
      <c r="EY6" s="112"/>
      <c r="EZ6" s="112"/>
      <c r="FA6" s="112"/>
      <c r="FB6" s="112"/>
      <c r="FC6" s="112"/>
      <c r="FD6" s="112"/>
      <c r="FE6" s="112"/>
      <c r="FF6" s="112"/>
      <c r="FG6" s="112"/>
      <c r="FH6" s="112"/>
      <c r="FI6" s="112"/>
      <c r="FJ6" s="112"/>
      <c r="FK6" s="112"/>
      <c r="FL6" s="112"/>
      <c r="FM6" s="112"/>
      <c r="FN6" s="112"/>
      <c r="FO6" s="112"/>
      <c r="FP6" s="112"/>
      <c r="FQ6" s="112"/>
      <c r="FR6" s="112"/>
      <c r="FS6" s="112"/>
      <c r="FT6" s="112"/>
      <c r="FU6" s="112"/>
      <c r="FV6" s="112"/>
      <c r="FW6" s="112"/>
      <c r="FX6" s="112"/>
      <c r="FY6" s="112"/>
      <c r="FZ6" s="112"/>
      <c r="GA6" s="112"/>
      <c r="GB6" s="112"/>
      <c r="GC6" s="112"/>
      <c r="GD6" s="112"/>
      <c r="GE6" s="112"/>
      <c r="GF6" s="112"/>
      <c r="GG6" s="112"/>
      <c r="GH6" s="112"/>
      <c r="GI6" s="112"/>
      <c r="GJ6" s="112"/>
      <c r="GK6" s="112"/>
      <c r="GL6" s="112"/>
      <c r="GM6" s="112"/>
      <c r="GN6" s="112"/>
      <c r="GO6" s="112"/>
      <c r="GP6" s="112"/>
      <c r="GQ6" s="112"/>
      <c r="GR6" s="112"/>
      <c r="GS6" s="112"/>
      <c r="GT6" s="112"/>
      <c r="GU6" s="112"/>
      <c r="GV6" s="112"/>
      <c r="GW6" s="112"/>
      <c r="GX6" s="112"/>
      <c r="GY6" s="112"/>
      <c r="GZ6" s="112"/>
      <c r="HA6" s="112"/>
      <c r="HB6" s="112"/>
      <c r="HC6" s="112"/>
      <c r="HD6" s="112"/>
      <c r="HE6" s="112"/>
      <c r="HF6" s="112"/>
      <c r="HG6" s="112"/>
      <c r="HH6" s="112"/>
      <c r="HI6" s="112"/>
      <c r="HJ6" s="112"/>
      <c r="HK6" s="112"/>
      <c r="HL6" s="112"/>
      <c r="HM6" s="112"/>
      <c r="HN6" s="112"/>
      <c r="HO6" s="112"/>
      <c r="HP6" s="112"/>
      <c r="HQ6" s="112"/>
      <c r="HR6" s="112"/>
      <c r="HS6" s="112"/>
      <c r="HT6" s="112"/>
      <c r="HU6" s="112"/>
      <c r="HV6" s="112"/>
      <c r="HW6" s="112"/>
      <c r="HX6" s="112"/>
      <c r="HY6" s="112"/>
      <c r="HZ6" s="112"/>
      <c r="IA6" s="112"/>
      <c r="IB6" s="112"/>
      <c r="IC6" s="112"/>
    </row>
    <row r="7" spans="1:237" ht="15.75" x14ac:dyDescent="0.25">
      <c r="A7" s="312" t="s">
        <v>224</v>
      </c>
      <c r="B7" s="313"/>
      <c r="C7" s="313"/>
      <c r="D7" s="313"/>
      <c r="E7" s="313"/>
      <c r="F7" s="313"/>
      <c r="G7" s="313"/>
      <c r="H7" s="313"/>
      <c r="I7" s="313"/>
      <c r="J7" s="313"/>
      <c r="K7" s="111"/>
      <c r="L7" s="113"/>
      <c r="M7" s="113"/>
      <c r="N7" s="113"/>
      <c r="O7" s="113"/>
      <c r="P7" s="113"/>
      <c r="Q7" s="113"/>
      <c r="R7" s="113"/>
      <c r="S7" s="113"/>
      <c r="T7" s="113"/>
      <c r="U7" s="113"/>
      <c r="V7" s="113"/>
      <c r="W7" s="113"/>
      <c r="X7" s="113"/>
      <c r="Y7" s="113"/>
      <c r="Z7" s="113"/>
      <c r="AA7" s="113"/>
      <c r="AB7" s="113"/>
      <c r="AC7" s="113"/>
      <c r="AD7" s="113"/>
      <c r="AE7" s="113"/>
      <c r="AF7" s="113"/>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13"/>
      <c r="BF7" s="113"/>
      <c r="BG7" s="113"/>
      <c r="BH7" s="113"/>
      <c r="BI7" s="113"/>
      <c r="BJ7" s="113"/>
      <c r="BK7" s="113"/>
      <c r="BL7" s="113"/>
      <c r="BM7" s="113"/>
      <c r="BN7" s="113"/>
      <c r="BO7" s="113"/>
      <c r="BP7" s="113"/>
      <c r="BQ7" s="113"/>
      <c r="BR7" s="113"/>
      <c r="BS7" s="113"/>
      <c r="BT7" s="113"/>
      <c r="BU7" s="113"/>
      <c r="BV7" s="113"/>
      <c r="BW7" s="113"/>
      <c r="BX7" s="113"/>
      <c r="BY7" s="113"/>
      <c r="BZ7" s="113"/>
      <c r="CA7" s="113"/>
      <c r="CB7" s="113"/>
      <c r="CC7" s="113"/>
      <c r="CD7" s="113"/>
      <c r="CE7" s="113"/>
      <c r="CF7" s="113"/>
      <c r="CG7" s="113"/>
      <c r="CH7" s="113"/>
      <c r="CI7" s="113"/>
      <c r="CJ7" s="113"/>
      <c r="CK7" s="113"/>
      <c r="CL7" s="113"/>
      <c r="CM7" s="113"/>
      <c r="CN7" s="113"/>
      <c r="CO7" s="113"/>
      <c r="CP7" s="113"/>
      <c r="CQ7" s="113"/>
      <c r="CR7" s="113"/>
      <c r="CS7" s="113"/>
      <c r="CT7" s="113"/>
      <c r="CU7" s="113"/>
      <c r="CV7" s="113"/>
      <c r="CW7" s="113"/>
      <c r="CX7" s="113"/>
      <c r="CY7" s="113"/>
      <c r="CZ7" s="113"/>
      <c r="DA7" s="113"/>
      <c r="DB7" s="113"/>
      <c r="DC7" s="113"/>
      <c r="DD7" s="113"/>
      <c r="DE7" s="113"/>
      <c r="DF7" s="113"/>
      <c r="DG7" s="113"/>
      <c r="DH7" s="113"/>
      <c r="DI7" s="113"/>
      <c r="DJ7" s="113"/>
      <c r="DK7" s="113"/>
      <c r="DL7" s="113"/>
      <c r="DM7" s="113"/>
      <c r="DN7" s="113"/>
      <c r="DO7" s="113"/>
      <c r="DP7" s="113"/>
      <c r="DQ7" s="113"/>
      <c r="DR7" s="113"/>
      <c r="DS7" s="113"/>
      <c r="DT7" s="113"/>
      <c r="DU7" s="113"/>
      <c r="DV7" s="113"/>
      <c r="DW7" s="113"/>
      <c r="DX7" s="113"/>
      <c r="DY7" s="113"/>
      <c r="DZ7" s="113"/>
      <c r="EA7" s="113"/>
      <c r="EB7" s="113"/>
      <c r="EC7" s="113"/>
      <c r="ED7" s="113"/>
      <c r="EE7" s="113"/>
      <c r="EF7" s="113"/>
      <c r="EG7" s="113"/>
      <c r="EH7" s="113"/>
      <c r="EI7" s="113"/>
      <c r="EJ7" s="113"/>
      <c r="EK7" s="113"/>
      <c r="EL7" s="113"/>
      <c r="EM7" s="113"/>
      <c r="EN7" s="113"/>
      <c r="EO7" s="113"/>
      <c r="EP7" s="113"/>
      <c r="EQ7" s="113"/>
      <c r="ER7" s="113"/>
      <c r="ES7" s="113"/>
      <c r="ET7" s="113"/>
      <c r="EU7" s="113"/>
      <c r="EV7" s="113"/>
      <c r="EW7" s="113"/>
      <c r="EX7" s="113"/>
      <c r="EY7" s="113"/>
      <c r="EZ7" s="113"/>
      <c r="FA7" s="113"/>
      <c r="FB7" s="113"/>
      <c r="FC7" s="113"/>
      <c r="FD7" s="113"/>
      <c r="FE7" s="113"/>
      <c r="FF7" s="113"/>
      <c r="FG7" s="113"/>
      <c r="FH7" s="113"/>
      <c r="FI7" s="113"/>
      <c r="FJ7" s="113"/>
      <c r="FK7" s="113"/>
      <c r="FL7" s="113"/>
      <c r="FM7" s="113"/>
      <c r="FN7" s="113"/>
      <c r="FO7" s="113"/>
      <c r="FP7" s="113"/>
      <c r="FQ7" s="113"/>
      <c r="FR7" s="113"/>
      <c r="FS7" s="113"/>
      <c r="FT7" s="113"/>
      <c r="FU7" s="113"/>
      <c r="FV7" s="113"/>
      <c r="FW7" s="113"/>
      <c r="FX7" s="113"/>
      <c r="FY7" s="113"/>
      <c r="FZ7" s="113"/>
      <c r="GA7" s="113"/>
      <c r="GB7" s="113"/>
      <c r="GC7" s="113"/>
      <c r="GD7" s="113"/>
      <c r="GE7" s="113"/>
      <c r="GF7" s="113"/>
      <c r="GG7" s="113"/>
      <c r="GH7" s="113"/>
      <c r="GI7" s="113"/>
      <c r="GJ7" s="113"/>
      <c r="GK7" s="113"/>
      <c r="GL7" s="113"/>
      <c r="GM7" s="113"/>
      <c r="GN7" s="113"/>
      <c r="GO7" s="113"/>
      <c r="GP7" s="113"/>
      <c r="GQ7" s="113"/>
      <c r="GR7" s="113"/>
      <c r="GS7" s="113"/>
      <c r="GT7" s="113"/>
      <c r="GU7" s="113"/>
      <c r="GV7" s="113"/>
      <c r="GW7" s="113"/>
      <c r="GX7" s="113"/>
      <c r="GY7" s="113"/>
      <c r="GZ7" s="113"/>
      <c r="HA7" s="113"/>
      <c r="HB7" s="113"/>
      <c r="HC7" s="113"/>
      <c r="HD7" s="113"/>
      <c r="HE7" s="113"/>
      <c r="HF7" s="113"/>
      <c r="HG7" s="113"/>
      <c r="HH7" s="113"/>
      <c r="HI7" s="113"/>
      <c r="HJ7" s="113"/>
      <c r="HK7" s="113"/>
      <c r="HL7" s="113"/>
      <c r="HM7" s="113"/>
      <c r="HN7" s="113"/>
      <c r="HO7" s="113"/>
      <c r="HP7" s="113"/>
      <c r="HQ7" s="113"/>
      <c r="HR7" s="113"/>
      <c r="HS7" s="113"/>
      <c r="HT7" s="113"/>
      <c r="HU7" s="113"/>
      <c r="HV7" s="113"/>
      <c r="HW7" s="113"/>
      <c r="HX7" s="113"/>
      <c r="HY7" s="113"/>
      <c r="HZ7" s="113"/>
      <c r="IA7" s="113"/>
      <c r="IB7" s="113"/>
      <c r="IC7" s="113"/>
    </row>
    <row r="8" spans="1:237" ht="15.75" x14ac:dyDescent="0.25">
      <c r="A8" s="114"/>
      <c r="B8" s="110"/>
      <c r="C8" s="110"/>
      <c r="D8" s="110"/>
      <c r="E8" s="110"/>
      <c r="F8" s="110"/>
      <c r="G8" s="110"/>
      <c r="H8" s="110"/>
      <c r="I8" s="110"/>
      <c r="J8" s="115"/>
      <c r="K8" s="111"/>
    </row>
    <row r="9" spans="1:237" ht="20.25" x14ac:dyDescent="0.2">
      <c r="A9" s="303" t="s">
        <v>225</v>
      </c>
      <c r="B9" s="304"/>
      <c r="C9" s="304"/>
      <c r="D9" s="304"/>
      <c r="E9" s="304"/>
      <c r="F9" s="304"/>
      <c r="G9" s="304"/>
      <c r="H9" s="304"/>
      <c r="I9" s="304"/>
      <c r="J9" s="304"/>
      <c r="K9" s="305"/>
    </row>
    <row r="10" spans="1:237" ht="20.25" x14ac:dyDescent="0.2">
      <c r="A10" s="303" t="s">
        <v>461</v>
      </c>
      <c r="B10" s="304"/>
      <c r="C10" s="304"/>
      <c r="D10" s="304"/>
      <c r="E10" s="304"/>
      <c r="F10" s="304"/>
      <c r="G10" s="304"/>
      <c r="H10" s="304"/>
      <c r="I10" s="304"/>
      <c r="J10" s="304"/>
      <c r="K10" s="305"/>
    </row>
    <row r="11" spans="1:237" ht="27.75" customHeight="1" thickBot="1" x14ac:dyDescent="0.3">
      <c r="A11" s="222"/>
      <c r="B11" s="285"/>
      <c r="C11" s="285"/>
      <c r="D11" s="285"/>
      <c r="E11" s="285"/>
      <c r="F11" s="285"/>
      <c r="G11" s="285"/>
      <c r="H11" s="285"/>
      <c r="I11" s="285"/>
      <c r="J11" s="285"/>
      <c r="K11" s="111"/>
    </row>
    <row r="12" spans="1:237" s="118" customFormat="1" ht="18.75" thickBot="1" x14ac:dyDescent="0.3">
      <c r="A12" s="286" t="s">
        <v>226</v>
      </c>
      <c r="B12" s="287"/>
      <c r="C12" s="287"/>
      <c r="D12" s="287"/>
      <c r="E12" s="287"/>
      <c r="F12" s="287"/>
      <c r="G12" s="287"/>
      <c r="H12" s="287"/>
      <c r="I12" s="287"/>
      <c r="J12" s="287"/>
      <c r="K12" s="288"/>
    </row>
    <row r="13" spans="1:237" ht="15.75" customHeight="1" x14ac:dyDescent="0.2">
      <c r="A13" s="249" t="s">
        <v>227</v>
      </c>
      <c r="B13" s="289"/>
      <c r="C13" s="289"/>
      <c r="D13" s="289"/>
      <c r="E13" s="289"/>
      <c r="F13" s="289"/>
      <c r="G13" s="289"/>
      <c r="H13" s="289"/>
      <c r="I13" s="120"/>
      <c r="J13" s="289" t="s">
        <v>228</v>
      </c>
      <c r="K13" s="290"/>
    </row>
    <row r="14" spans="1:237" ht="47.25" customHeight="1" x14ac:dyDescent="0.2">
      <c r="A14" s="249" t="s">
        <v>229</v>
      </c>
      <c r="B14" s="289"/>
      <c r="C14" s="289"/>
      <c r="D14" s="289"/>
      <c r="E14" s="289"/>
      <c r="F14" s="289"/>
      <c r="G14" s="289"/>
      <c r="H14" s="289"/>
      <c r="I14" s="119"/>
      <c r="J14" s="291" t="s">
        <v>230</v>
      </c>
      <c r="K14" s="292"/>
    </row>
    <row r="15" spans="1:237" ht="15.75" x14ac:dyDescent="0.25">
      <c r="A15" s="293" t="s">
        <v>231</v>
      </c>
      <c r="B15" s="294"/>
      <c r="C15" s="294"/>
      <c r="D15" s="294"/>
      <c r="E15" s="294"/>
      <c r="F15" s="294"/>
      <c r="G15" s="294"/>
      <c r="H15" s="294"/>
      <c r="I15" s="121"/>
      <c r="J15" s="115"/>
      <c r="K15" s="111"/>
    </row>
    <row r="16" spans="1:237" ht="81" customHeight="1" x14ac:dyDescent="0.2">
      <c r="A16" s="295" t="s">
        <v>462</v>
      </c>
      <c r="B16" s="296"/>
      <c r="C16" s="296"/>
      <c r="D16" s="296"/>
      <c r="E16" s="296"/>
      <c r="F16" s="296"/>
      <c r="G16" s="296"/>
      <c r="H16" s="296"/>
      <c r="I16" s="296"/>
      <c r="J16" s="296"/>
      <c r="K16" s="297"/>
    </row>
    <row r="17" spans="1:257" ht="6.75" customHeight="1" thickBot="1" x14ac:dyDescent="0.3">
      <c r="A17" s="222"/>
      <c r="B17" s="285"/>
      <c r="C17" s="285"/>
      <c r="D17" s="285"/>
      <c r="E17" s="285"/>
      <c r="F17" s="285"/>
      <c r="G17" s="285"/>
      <c r="H17" s="285"/>
      <c r="I17" s="109"/>
      <c r="J17" s="285"/>
      <c r="K17" s="298"/>
      <c r="IM17" s="122"/>
      <c r="IN17" s="122"/>
      <c r="IO17" s="122"/>
      <c r="IP17" s="122"/>
      <c r="IQ17" s="122"/>
      <c r="IR17" s="122"/>
      <c r="IS17" s="122"/>
      <c r="IT17" s="122"/>
      <c r="IU17" s="122"/>
      <c r="IV17" s="122"/>
      <c r="IW17" s="122"/>
    </row>
    <row r="18" spans="1:257" s="123" customFormat="1" ht="30" customHeight="1" thickBot="1" x14ac:dyDescent="0.3">
      <c r="A18" s="299" t="s">
        <v>232</v>
      </c>
      <c r="B18" s="300"/>
      <c r="C18" s="301"/>
      <c r="D18" s="301"/>
      <c r="E18" s="301"/>
      <c r="F18" s="301"/>
      <c r="G18" s="301"/>
      <c r="H18" s="301"/>
      <c r="I18" s="301"/>
      <c r="J18" s="301"/>
      <c r="K18" s="302"/>
    </row>
    <row r="19" spans="1:257" s="123" customFormat="1" ht="27.75" customHeight="1" thickBot="1" x14ac:dyDescent="0.3">
      <c r="A19" s="281" t="s">
        <v>233</v>
      </c>
      <c r="B19" s="282"/>
      <c r="C19" s="283" t="s">
        <v>234</v>
      </c>
      <c r="D19" s="284"/>
      <c r="E19" s="124" t="s">
        <v>235</v>
      </c>
      <c r="F19" s="125" t="s">
        <v>236</v>
      </c>
      <c r="G19" s="125" t="s">
        <v>237</v>
      </c>
      <c r="H19" s="125" t="s">
        <v>238</v>
      </c>
      <c r="I19" s="125" t="s">
        <v>239</v>
      </c>
      <c r="J19" s="125" t="s">
        <v>240</v>
      </c>
      <c r="K19" s="125" t="s">
        <v>241</v>
      </c>
    </row>
    <row r="20" spans="1:257" s="123" customFormat="1" ht="15" customHeight="1" thickBot="1" x14ac:dyDescent="0.3">
      <c r="A20" s="253">
        <v>1</v>
      </c>
      <c r="B20" s="255"/>
      <c r="C20" s="279" t="s">
        <v>463</v>
      </c>
      <c r="D20" s="280"/>
      <c r="E20" s="218" t="s">
        <v>242</v>
      </c>
      <c r="F20" s="126">
        <f>Resumo!D29</f>
        <v>2</v>
      </c>
      <c r="G20" s="126">
        <v>2</v>
      </c>
      <c r="H20" s="127">
        <f>Resumo!C29</f>
        <v>7563.79</v>
      </c>
      <c r="I20" s="127">
        <f>H20*1</f>
        <v>7563.79</v>
      </c>
      <c r="J20" s="128">
        <f>F20*I20</f>
        <v>15127.58</v>
      </c>
      <c r="K20" s="128">
        <f>J20*12</f>
        <v>181530.96</v>
      </c>
    </row>
    <row r="21" spans="1:257" s="123" customFormat="1" ht="15" customHeight="1" thickBot="1" x14ac:dyDescent="0.3">
      <c r="A21" s="253">
        <v>2</v>
      </c>
      <c r="B21" s="255"/>
      <c r="C21" s="279" t="s">
        <v>464</v>
      </c>
      <c r="D21" s="280"/>
      <c r="E21" s="218" t="s">
        <v>242</v>
      </c>
      <c r="F21" s="126">
        <f>Resumo!D30</f>
        <v>1</v>
      </c>
      <c r="G21" s="126">
        <v>1</v>
      </c>
      <c r="H21" s="127">
        <f>Resumo!C30</f>
        <v>8817.3799999999992</v>
      </c>
      <c r="I21" s="127">
        <f>H21</f>
        <v>8817.3799999999992</v>
      </c>
      <c r="J21" s="128">
        <f>F21*I21</f>
        <v>8817.3799999999992</v>
      </c>
      <c r="K21" s="128">
        <f>J21*12</f>
        <v>105808.56</v>
      </c>
    </row>
    <row r="22" spans="1:257" s="123" customFormat="1" ht="15" customHeight="1" thickBot="1" x14ac:dyDescent="0.3">
      <c r="A22" s="253">
        <v>3</v>
      </c>
      <c r="B22" s="255"/>
      <c r="C22" s="279" t="s">
        <v>465</v>
      </c>
      <c r="D22" s="280"/>
      <c r="E22" s="218" t="s">
        <v>243</v>
      </c>
      <c r="F22" s="126">
        <f>Resumo!D31</f>
        <v>5</v>
      </c>
      <c r="G22" s="126">
        <f>F22*2</f>
        <v>10</v>
      </c>
      <c r="H22" s="127">
        <f>Resumo!C31</f>
        <v>7140.11</v>
      </c>
      <c r="I22" s="127">
        <f>H22*2</f>
        <v>14280.22</v>
      </c>
      <c r="J22" s="128">
        <f>F22*I22</f>
        <v>71401.099999999991</v>
      </c>
      <c r="K22" s="128">
        <f>J22*12</f>
        <v>856813.2</v>
      </c>
    </row>
    <row r="23" spans="1:257" s="123" customFormat="1" ht="15" customHeight="1" thickBot="1" x14ac:dyDescent="0.3">
      <c r="A23" s="253">
        <v>4</v>
      </c>
      <c r="B23" s="255"/>
      <c r="C23" s="279" t="s">
        <v>466</v>
      </c>
      <c r="D23" s="280"/>
      <c r="E23" s="218" t="s">
        <v>244</v>
      </c>
      <c r="F23" s="126">
        <f>Resumo!D32</f>
        <v>1</v>
      </c>
      <c r="G23" s="126">
        <f>F23*2</f>
        <v>2</v>
      </c>
      <c r="H23" s="127">
        <f>Resumo!C32</f>
        <v>9240.42</v>
      </c>
      <c r="I23" s="127">
        <f>H23*2</f>
        <v>18480.84</v>
      </c>
      <c r="J23" s="128">
        <f>F23*I23</f>
        <v>18480.84</v>
      </c>
      <c r="K23" s="128">
        <f>J23*12</f>
        <v>221770.08000000002</v>
      </c>
    </row>
    <row r="24" spans="1:257" s="123" customFormat="1" ht="15" customHeight="1" thickBot="1" x14ac:dyDescent="0.3">
      <c r="A24" s="253">
        <v>5</v>
      </c>
      <c r="B24" s="255"/>
      <c r="C24" s="279" t="s">
        <v>467</v>
      </c>
      <c r="D24" s="280"/>
      <c r="E24" s="218" t="s">
        <v>244</v>
      </c>
      <c r="F24" s="126">
        <f>Resumo!D33</f>
        <v>3</v>
      </c>
      <c r="G24" s="126">
        <f>F24*2</f>
        <v>6</v>
      </c>
      <c r="H24" s="127">
        <f>Resumo!C33</f>
        <v>7825.77</v>
      </c>
      <c r="I24" s="127">
        <f>H24*2</f>
        <v>15651.54</v>
      </c>
      <c r="J24" s="128">
        <f>F24*I24</f>
        <v>46954.62</v>
      </c>
      <c r="K24" s="128">
        <f>J24*12</f>
        <v>563455.44000000006</v>
      </c>
    </row>
    <row r="25" spans="1:257" s="123" customFormat="1" ht="15" customHeight="1" thickBot="1" x14ac:dyDescent="0.3">
      <c r="A25" s="253" t="s">
        <v>245</v>
      </c>
      <c r="B25" s="254"/>
      <c r="C25" s="254"/>
      <c r="D25" s="254"/>
      <c r="E25" s="255"/>
      <c r="F25" s="129">
        <f>SUM(F20:F24)</f>
        <v>12</v>
      </c>
      <c r="G25" s="129">
        <f>SUM(G20:G24)</f>
        <v>21</v>
      </c>
      <c r="H25" s="130"/>
      <c r="I25" s="131"/>
      <c r="J25" s="132">
        <f>SUM(J20:J24)</f>
        <v>160781.51999999999</v>
      </c>
      <c r="K25" s="133">
        <f>SUM(K20:K24)</f>
        <v>1929378.2400000002</v>
      </c>
      <c r="L25" s="219"/>
    </row>
    <row r="26" spans="1:257" ht="15.75" thickBot="1" x14ac:dyDescent="0.25">
      <c r="A26" s="256" t="s">
        <v>246</v>
      </c>
      <c r="B26" s="257"/>
      <c r="C26" s="257"/>
      <c r="D26" s="257"/>
      <c r="E26" s="257"/>
      <c r="F26" s="257"/>
      <c r="G26" s="257"/>
      <c r="H26" s="257"/>
      <c r="I26" s="257"/>
      <c r="J26" s="258"/>
      <c r="K26" s="134">
        <f>J25</f>
        <v>160781.51999999999</v>
      </c>
      <c r="L26" s="135"/>
      <c r="M26" s="136"/>
      <c r="N26" s="136"/>
      <c r="O26" s="136"/>
      <c r="P26" s="136"/>
      <c r="Q26" s="136"/>
      <c r="R26" s="136"/>
      <c r="S26" s="136"/>
      <c r="T26" s="136"/>
      <c r="U26" s="136"/>
      <c r="V26" s="136"/>
      <c r="W26" s="136"/>
      <c r="X26" s="136"/>
      <c r="Y26" s="136"/>
      <c r="Z26" s="136"/>
      <c r="AA26" s="136"/>
      <c r="AB26" s="136"/>
      <c r="AC26" s="136"/>
      <c r="AD26" s="136"/>
      <c r="AE26" s="136"/>
      <c r="AF26" s="136"/>
      <c r="AG26" s="136"/>
      <c r="AH26" s="136"/>
      <c r="AI26" s="136"/>
      <c r="AJ26" s="136"/>
      <c r="AK26" s="136"/>
      <c r="AL26" s="136"/>
      <c r="AM26" s="136"/>
      <c r="AN26" s="136"/>
      <c r="AO26" s="136"/>
      <c r="AP26" s="136"/>
      <c r="AQ26" s="136"/>
      <c r="AR26" s="136"/>
      <c r="AS26" s="136"/>
      <c r="AT26" s="136"/>
      <c r="AU26" s="136"/>
      <c r="AV26" s="136"/>
      <c r="AW26" s="136"/>
      <c r="AX26" s="136"/>
      <c r="AY26" s="136"/>
      <c r="AZ26" s="136"/>
      <c r="BA26" s="136"/>
      <c r="BB26" s="136"/>
      <c r="BC26" s="136"/>
      <c r="BD26" s="136"/>
      <c r="BE26" s="136"/>
      <c r="BF26" s="136"/>
      <c r="BG26" s="136"/>
      <c r="BH26" s="136"/>
      <c r="BI26" s="136"/>
      <c r="BJ26" s="136"/>
      <c r="BK26" s="136"/>
      <c r="BL26" s="136"/>
      <c r="BM26" s="136"/>
      <c r="BN26" s="136"/>
      <c r="BO26" s="136"/>
      <c r="BP26" s="136"/>
      <c r="BQ26" s="136"/>
      <c r="BR26" s="136"/>
      <c r="BS26" s="136"/>
      <c r="BT26" s="136"/>
      <c r="BU26" s="136"/>
      <c r="BV26" s="136"/>
      <c r="BW26" s="136"/>
      <c r="BX26" s="136"/>
      <c r="BY26" s="136"/>
      <c r="BZ26" s="136"/>
      <c r="CA26" s="136"/>
      <c r="CB26" s="136"/>
      <c r="CC26" s="136"/>
      <c r="CD26" s="136"/>
      <c r="CE26" s="136"/>
      <c r="CF26" s="136"/>
      <c r="CG26" s="136"/>
      <c r="CH26" s="136"/>
      <c r="CI26" s="136"/>
      <c r="CJ26" s="136"/>
      <c r="CK26" s="136"/>
      <c r="CL26" s="136"/>
      <c r="CM26" s="136"/>
      <c r="CN26" s="136"/>
      <c r="CO26" s="136"/>
      <c r="CP26" s="136"/>
      <c r="CQ26" s="136"/>
      <c r="CR26" s="136"/>
      <c r="CS26" s="136"/>
      <c r="CT26" s="136"/>
      <c r="CU26" s="136"/>
      <c r="CV26" s="136"/>
      <c r="CW26" s="136"/>
      <c r="CX26" s="136"/>
      <c r="CY26" s="136"/>
      <c r="CZ26" s="136"/>
      <c r="DA26" s="136"/>
      <c r="DB26" s="136"/>
      <c r="DC26" s="136"/>
      <c r="DD26" s="136"/>
      <c r="DE26" s="136"/>
      <c r="DF26" s="136"/>
      <c r="DG26" s="136"/>
      <c r="DH26" s="136"/>
      <c r="DI26" s="136"/>
      <c r="DJ26" s="136"/>
      <c r="DK26" s="136"/>
      <c r="DL26" s="136"/>
      <c r="DM26" s="136"/>
      <c r="DN26" s="136"/>
      <c r="DO26" s="136"/>
      <c r="DP26" s="136"/>
      <c r="DQ26" s="136"/>
      <c r="DR26" s="136"/>
      <c r="DS26" s="136"/>
      <c r="DT26" s="136"/>
      <c r="DU26" s="136"/>
      <c r="DV26" s="136"/>
      <c r="DW26" s="136"/>
      <c r="DX26" s="136"/>
      <c r="DY26" s="136"/>
      <c r="DZ26" s="136"/>
      <c r="EA26" s="136"/>
      <c r="EB26" s="136"/>
      <c r="EC26" s="136"/>
      <c r="ED26" s="136"/>
      <c r="EE26" s="136"/>
      <c r="EF26" s="136"/>
      <c r="EG26" s="136"/>
      <c r="EH26" s="136"/>
      <c r="EI26" s="136"/>
      <c r="EJ26" s="136"/>
      <c r="EK26" s="136"/>
      <c r="EL26" s="136"/>
      <c r="EM26" s="136"/>
      <c r="EN26" s="136"/>
      <c r="EO26" s="136"/>
      <c r="EP26" s="136"/>
      <c r="EQ26" s="136"/>
      <c r="ER26" s="136"/>
      <c r="ES26" s="136"/>
      <c r="ET26" s="136"/>
      <c r="EU26" s="136"/>
      <c r="EV26" s="136"/>
      <c r="EW26" s="136"/>
      <c r="EX26" s="136"/>
      <c r="EY26" s="136"/>
      <c r="EZ26" s="136"/>
      <c r="FA26" s="136"/>
      <c r="FB26" s="136"/>
      <c r="FC26" s="136"/>
      <c r="FD26" s="136"/>
      <c r="FE26" s="136"/>
      <c r="FF26" s="136"/>
      <c r="FG26" s="136"/>
      <c r="FH26" s="136"/>
      <c r="FI26" s="136"/>
      <c r="FJ26" s="136"/>
      <c r="FK26" s="136"/>
      <c r="FL26" s="136"/>
      <c r="FM26" s="136"/>
      <c r="FN26" s="136"/>
      <c r="FO26" s="136"/>
      <c r="FP26" s="136"/>
      <c r="FQ26" s="136"/>
      <c r="FR26" s="136"/>
      <c r="FS26" s="136"/>
      <c r="FT26" s="136"/>
      <c r="FU26" s="136"/>
      <c r="FV26" s="136"/>
      <c r="FW26" s="136"/>
      <c r="FX26" s="136"/>
      <c r="FY26" s="136"/>
      <c r="FZ26" s="136"/>
      <c r="GA26" s="136"/>
      <c r="GB26" s="136"/>
      <c r="GC26" s="136"/>
      <c r="GD26" s="136"/>
      <c r="GE26" s="136"/>
      <c r="GF26" s="136"/>
      <c r="GG26" s="136"/>
      <c r="GH26" s="136"/>
      <c r="GI26" s="136"/>
      <c r="GJ26" s="136"/>
      <c r="GK26" s="136"/>
      <c r="GL26" s="136"/>
      <c r="GM26" s="136"/>
      <c r="GN26" s="136"/>
      <c r="GO26" s="136"/>
      <c r="GP26" s="136"/>
      <c r="GQ26" s="136"/>
      <c r="GR26" s="136"/>
      <c r="GS26" s="136"/>
      <c r="GT26" s="136"/>
      <c r="GU26" s="136"/>
      <c r="GV26" s="136"/>
      <c r="GW26" s="136"/>
      <c r="GX26" s="136"/>
      <c r="GY26" s="136"/>
      <c r="GZ26" s="136"/>
      <c r="HA26" s="136"/>
      <c r="HB26" s="136"/>
      <c r="HC26" s="136"/>
      <c r="HD26" s="136"/>
      <c r="HE26" s="136"/>
      <c r="HF26" s="136"/>
      <c r="HG26" s="136"/>
      <c r="HH26" s="136"/>
      <c r="HI26" s="136"/>
      <c r="HJ26" s="136"/>
      <c r="HK26" s="136"/>
      <c r="HL26" s="136"/>
      <c r="HM26" s="136"/>
      <c r="HN26" s="136"/>
      <c r="HO26" s="136"/>
      <c r="HP26" s="136"/>
      <c r="HQ26" s="136"/>
      <c r="HR26" s="136"/>
      <c r="HS26" s="136"/>
      <c r="HT26" s="136"/>
      <c r="HU26" s="136"/>
      <c r="HV26" s="136"/>
      <c r="HW26" s="136"/>
      <c r="HX26" s="136"/>
      <c r="HY26" s="136"/>
      <c r="HZ26" s="136"/>
      <c r="IA26" s="136"/>
      <c r="IB26" s="136"/>
      <c r="IC26" s="136"/>
      <c r="ID26" s="136"/>
      <c r="IE26" s="136"/>
      <c r="IF26" s="136"/>
      <c r="IG26" s="136"/>
      <c r="IH26" s="136"/>
      <c r="II26" s="136"/>
      <c r="IJ26" s="136"/>
      <c r="IK26" s="136"/>
      <c r="IL26" s="136"/>
      <c r="IM26" s="137"/>
      <c r="IN26" s="137"/>
      <c r="IO26" s="137"/>
      <c r="IP26" s="137"/>
      <c r="IQ26" s="137"/>
      <c r="IR26" s="137"/>
      <c r="IS26" s="137"/>
      <c r="IT26" s="137"/>
      <c r="IU26" s="137"/>
      <c r="IV26" s="137"/>
      <c r="IW26" s="137"/>
    </row>
    <row r="27" spans="1:257" ht="15.75" thickBot="1" x14ac:dyDescent="0.25">
      <c r="A27" s="259" t="s">
        <v>470</v>
      </c>
      <c r="B27" s="260"/>
      <c r="C27" s="260"/>
      <c r="D27" s="260"/>
      <c r="E27" s="260"/>
      <c r="F27" s="260"/>
      <c r="G27" s="260"/>
      <c r="H27" s="260"/>
      <c r="I27" s="260"/>
      <c r="J27" s="260"/>
      <c r="K27" s="261"/>
      <c r="L27" s="221" t="s">
        <v>468</v>
      </c>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7"/>
      <c r="BA27" s="137"/>
      <c r="BB27" s="137"/>
      <c r="BC27" s="137"/>
      <c r="BD27" s="137"/>
      <c r="BE27" s="137"/>
      <c r="BF27" s="137"/>
      <c r="BG27" s="137"/>
      <c r="BH27" s="137"/>
      <c r="BI27" s="137"/>
      <c r="BJ27" s="137"/>
      <c r="BK27" s="137"/>
      <c r="BL27" s="137"/>
      <c r="BM27" s="137"/>
      <c r="BN27" s="137"/>
      <c r="BO27" s="137"/>
      <c r="BP27" s="137"/>
      <c r="BQ27" s="137"/>
      <c r="BR27" s="137"/>
      <c r="BS27" s="137"/>
      <c r="BT27" s="137"/>
      <c r="BU27" s="137"/>
      <c r="BV27" s="137"/>
      <c r="BW27" s="137"/>
      <c r="BX27" s="137"/>
      <c r="BY27" s="137"/>
      <c r="BZ27" s="137"/>
      <c r="CA27" s="137"/>
      <c r="CB27" s="137"/>
      <c r="CC27" s="137"/>
      <c r="CD27" s="137"/>
      <c r="CE27" s="137"/>
      <c r="CF27" s="137"/>
      <c r="CG27" s="137"/>
      <c r="CH27" s="137"/>
      <c r="CI27" s="137"/>
      <c r="CJ27" s="137"/>
      <c r="CK27" s="137"/>
      <c r="CL27" s="137"/>
      <c r="CM27" s="137"/>
      <c r="CN27" s="137"/>
      <c r="CO27" s="137"/>
      <c r="CP27" s="137"/>
      <c r="CQ27" s="137"/>
      <c r="CR27" s="137"/>
      <c r="CS27" s="137"/>
      <c r="CT27" s="137"/>
      <c r="CU27" s="137"/>
      <c r="CV27" s="137"/>
      <c r="CW27" s="137"/>
      <c r="CX27" s="137"/>
      <c r="CY27" s="137"/>
      <c r="CZ27" s="137"/>
      <c r="DA27" s="137"/>
      <c r="DB27" s="137"/>
      <c r="DC27" s="137"/>
      <c r="DD27" s="137"/>
      <c r="DE27" s="137"/>
      <c r="DF27" s="137"/>
      <c r="DG27" s="137"/>
      <c r="DH27" s="137"/>
      <c r="DI27" s="137"/>
      <c r="DJ27" s="137"/>
      <c r="DK27" s="137"/>
      <c r="DL27" s="137"/>
      <c r="DM27" s="137"/>
      <c r="DN27" s="137"/>
      <c r="DO27" s="137"/>
      <c r="DP27" s="137"/>
      <c r="DQ27" s="137"/>
      <c r="DR27" s="137"/>
      <c r="DS27" s="137"/>
      <c r="DT27" s="137"/>
      <c r="DU27" s="137"/>
      <c r="DV27" s="137"/>
      <c r="DW27" s="137"/>
      <c r="DX27" s="137"/>
      <c r="DY27" s="137"/>
      <c r="DZ27" s="137"/>
      <c r="EA27" s="137"/>
      <c r="EB27" s="137"/>
      <c r="EC27" s="137"/>
      <c r="ED27" s="137"/>
      <c r="EE27" s="137"/>
      <c r="EF27" s="137"/>
      <c r="EG27" s="137"/>
      <c r="EH27" s="137"/>
      <c r="EI27" s="137"/>
      <c r="EJ27" s="137"/>
      <c r="EK27" s="137"/>
      <c r="EL27" s="137"/>
      <c r="EM27" s="137"/>
      <c r="EN27" s="137"/>
      <c r="EO27" s="137"/>
      <c r="EP27" s="137"/>
      <c r="EQ27" s="137"/>
      <c r="ER27" s="137"/>
      <c r="ES27" s="137"/>
      <c r="ET27" s="137"/>
      <c r="EU27" s="137"/>
      <c r="EV27" s="137"/>
      <c r="EW27" s="137"/>
      <c r="EX27" s="137"/>
      <c r="EY27" s="137"/>
      <c r="EZ27" s="137"/>
      <c r="FA27" s="137"/>
      <c r="FB27" s="137"/>
      <c r="FC27" s="137"/>
      <c r="FD27" s="137"/>
      <c r="FE27" s="137"/>
      <c r="FF27" s="137"/>
      <c r="FG27" s="137"/>
      <c r="FH27" s="137"/>
      <c r="FI27" s="137"/>
      <c r="FJ27" s="137"/>
      <c r="FK27" s="137"/>
      <c r="FL27" s="137"/>
      <c r="FM27" s="137"/>
      <c r="FN27" s="137"/>
      <c r="FO27" s="137"/>
      <c r="FP27" s="137"/>
      <c r="FQ27" s="137"/>
      <c r="FR27" s="137"/>
      <c r="FS27" s="137"/>
      <c r="FT27" s="137"/>
      <c r="FU27" s="137"/>
      <c r="FV27" s="137"/>
      <c r="FW27" s="137"/>
      <c r="FX27" s="137"/>
      <c r="FY27" s="137"/>
      <c r="FZ27" s="137"/>
      <c r="GA27" s="137"/>
      <c r="GB27" s="137"/>
      <c r="GC27" s="137"/>
      <c r="GD27" s="137"/>
      <c r="GE27" s="137"/>
      <c r="GF27" s="137"/>
      <c r="GG27" s="137"/>
      <c r="GH27" s="137"/>
      <c r="GI27" s="137"/>
      <c r="GJ27" s="137"/>
      <c r="GK27" s="137"/>
      <c r="GL27" s="137"/>
      <c r="GM27" s="137"/>
      <c r="GN27" s="137"/>
      <c r="GO27" s="137"/>
      <c r="GP27" s="137"/>
      <c r="GQ27" s="137"/>
      <c r="GR27" s="137"/>
      <c r="GS27" s="137"/>
      <c r="GT27" s="137"/>
      <c r="GU27" s="137"/>
      <c r="GV27" s="137"/>
      <c r="GW27" s="137"/>
      <c r="GX27" s="137"/>
      <c r="GY27" s="137"/>
      <c r="GZ27" s="137"/>
      <c r="HA27" s="137"/>
      <c r="HB27" s="137"/>
      <c r="HC27" s="137"/>
      <c r="HD27" s="137"/>
      <c r="HE27" s="137"/>
      <c r="HF27" s="137"/>
      <c r="HG27" s="137"/>
      <c r="HH27" s="137"/>
      <c r="HI27" s="137"/>
      <c r="HJ27" s="137"/>
      <c r="HK27" s="137"/>
      <c r="HL27" s="137"/>
      <c r="HM27" s="137"/>
      <c r="HN27" s="137"/>
      <c r="HO27" s="137"/>
      <c r="HP27" s="137"/>
      <c r="HQ27" s="137"/>
      <c r="HR27" s="137"/>
      <c r="HS27" s="137"/>
      <c r="HT27" s="137"/>
      <c r="HU27" s="137"/>
      <c r="HV27" s="137"/>
      <c r="HW27" s="137"/>
      <c r="HX27" s="137"/>
      <c r="HY27" s="137"/>
      <c r="HZ27" s="137"/>
      <c r="IA27" s="137"/>
      <c r="IB27" s="137"/>
      <c r="IC27" s="137"/>
      <c r="ID27" s="137"/>
      <c r="IE27" s="137"/>
      <c r="IF27" s="137"/>
      <c r="IG27" s="137"/>
      <c r="IH27" s="137"/>
      <c r="II27" s="137"/>
      <c r="IJ27" s="137"/>
      <c r="IK27" s="137"/>
      <c r="IL27" s="137"/>
      <c r="IM27" s="137"/>
      <c r="IN27" s="137"/>
      <c r="IO27" s="137"/>
      <c r="IP27" s="137"/>
      <c r="IQ27" s="137"/>
      <c r="IR27" s="137"/>
      <c r="IS27" s="137"/>
      <c r="IT27" s="137"/>
      <c r="IU27" s="137"/>
      <c r="IV27" s="137"/>
      <c r="IW27" s="137"/>
    </row>
    <row r="28" spans="1:257" ht="8.25" customHeight="1" thickBot="1" x14ac:dyDescent="0.3">
      <c r="A28" s="262"/>
      <c r="B28" s="263"/>
      <c r="C28" s="263"/>
      <c r="D28" s="263"/>
      <c r="E28" s="263"/>
      <c r="F28" s="263"/>
      <c r="G28" s="263"/>
      <c r="H28" s="263"/>
      <c r="I28" s="263"/>
      <c r="J28" s="263"/>
      <c r="K28" s="264"/>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7"/>
      <c r="AL28" s="137"/>
      <c r="AM28" s="137"/>
      <c r="AN28" s="137"/>
      <c r="AO28" s="137"/>
      <c r="AP28" s="137"/>
      <c r="AQ28" s="137"/>
      <c r="AR28" s="137"/>
      <c r="AS28" s="137"/>
      <c r="AT28" s="137"/>
      <c r="AU28" s="137"/>
      <c r="AV28" s="137"/>
      <c r="AW28" s="137"/>
      <c r="AX28" s="137"/>
      <c r="AY28" s="137"/>
      <c r="AZ28" s="137"/>
      <c r="BA28" s="137"/>
      <c r="BB28" s="137"/>
      <c r="BC28" s="137"/>
      <c r="BD28" s="137"/>
      <c r="BE28" s="137"/>
      <c r="BF28" s="137"/>
      <c r="BG28" s="137"/>
      <c r="BH28" s="137"/>
      <c r="BI28" s="137"/>
      <c r="BJ28" s="137"/>
      <c r="BK28" s="137"/>
      <c r="BL28" s="137"/>
      <c r="BM28" s="137"/>
      <c r="BN28" s="137"/>
      <c r="BO28" s="137"/>
      <c r="BP28" s="137"/>
      <c r="BQ28" s="137"/>
      <c r="BR28" s="137"/>
      <c r="BS28" s="137"/>
      <c r="BT28" s="137"/>
      <c r="BU28" s="137"/>
      <c r="BV28" s="137"/>
      <c r="BW28" s="137"/>
      <c r="BX28" s="137"/>
      <c r="BY28" s="137"/>
      <c r="BZ28" s="137"/>
      <c r="CA28" s="137"/>
      <c r="CB28" s="137"/>
      <c r="CC28" s="137"/>
      <c r="CD28" s="137"/>
      <c r="CE28" s="137"/>
      <c r="CF28" s="137"/>
      <c r="CG28" s="137"/>
      <c r="CH28" s="137"/>
      <c r="CI28" s="137"/>
      <c r="CJ28" s="137"/>
      <c r="CK28" s="137"/>
      <c r="CL28" s="137"/>
      <c r="CM28" s="137"/>
      <c r="CN28" s="137"/>
      <c r="CO28" s="137"/>
      <c r="CP28" s="137"/>
      <c r="CQ28" s="137"/>
      <c r="CR28" s="137"/>
      <c r="CS28" s="137"/>
      <c r="CT28" s="137"/>
      <c r="CU28" s="137"/>
      <c r="CV28" s="137"/>
      <c r="CW28" s="137"/>
      <c r="CX28" s="137"/>
      <c r="CY28" s="137"/>
      <c r="CZ28" s="137"/>
      <c r="DA28" s="137"/>
      <c r="DB28" s="137"/>
      <c r="DC28" s="137"/>
      <c r="DD28" s="137"/>
      <c r="DE28" s="137"/>
      <c r="DF28" s="137"/>
      <c r="DG28" s="137"/>
      <c r="DH28" s="137"/>
      <c r="DI28" s="137"/>
      <c r="DJ28" s="137"/>
      <c r="DK28" s="137"/>
      <c r="DL28" s="137"/>
      <c r="DM28" s="137"/>
      <c r="DN28" s="137"/>
      <c r="DO28" s="137"/>
      <c r="DP28" s="137"/>
      <c r="DQ28" s="137"/>
      <c r="DR28" s="137"/>
      <c r="DS28" s="137"/>
      <c r="DT28" s="137"/>
      <c r="DU28" s="137"/>
      <c r="DV28" s="137"/>
      <c r="DW28" s="137"/>
      <c r="DX28" s="137"/>
      <c r="DY28" s="137"/>
      <c r="DZ28" s="137"/>
      <c r="EA28" s="137"/>
      <c r="EB28" s="137"/>
      <c r="EC28" s="137"/>
      <c r="ED28" s="137"/>
      <c r="EE28" s="137"/>
      <c r="EF28" s="137"/>
      <c r="EG28" s="137"/>
      <c r="EH28" s="137"/>
      <c r="EI28" s="137"/>
      <c r="EJ28" s="137"/>
      <c r="EK28" s="137"/>
      <c r="EL28" s="137"/>
      <c r="EM28" s="137"/>
      <c r="EN28" s="137"/>
      <c r="EO28" s="137"/>
      <c r="EP28" s="137"/>
      <c r="EQ28" s="137"/>
      <c r="ER28" s="137"/>
      <c r="ES28" s="137"/>
      <c r="ET28" s="137"/>
      <c r="EU28" s="137"/>
      <c r="EV28" s="137"/>
      <c r="EW28" s="137"/>
      <c r="EX28" s="137"/>
      <c r="EY28" s="137"/>
      <c r="EZ28" s="137"/>
      <c r="FA28" s="137"/>
      <c r="FB28" s="137"/>
      <c r="FC28" s="137"/>
      <c r="FD28" s="137"/>
      <c r="FE28" s="137"/>
      <c r="FF28" s="137"/>
      <c r="FG28" s="137"/>
      <c r="FH28" s="137"/>
      <c r="FI28" s="137"/>
      <c r="FJ28" s="137"/>
      <c r="FK28" s="137"/>
      <c r="FL28" s="137"/>
      <c r="FM28" s="137"/>
      <c r="FN28" s="137"/>
      <c r="FO28" s="137"/>
      <c r="FP28" s="137"/>
      <c r="FQ28" s="137"/>
      <c r="FR28" s="137"/>
      <c r="FS28" s="137"/>
      <c r="FT28" s="137"/>
      <c r="FU28" s="137"/>
      <c r="FV28" s="137"/>
      <c r="FW28" s="137"/>
      <c r="FX28" s="137"/>
      <c r="FY28" s="137"/>
      <c r="FZ28" s="137"/>
      <c r="GA28" s="137"/>
      <c r="GB28" s="137"/>
      <c r="GC28" s="137"/>
      <c r="GD28" s="137"/>
      <c r="GE28" s="137"/>
      <c r="GF28" s="137"/>
      <c r="GG28" s="137"/>
      <c r="GH28" s="137"/>
      <c r="GI28" s="137"/>
      <c r="GJ28" s="137"/>
      <c r="GK28" s="137"/>
      <c r="GL28" s="137"/>
      <c r="GM28" s="137"/>
      <c r="GN28" s="137"/>
      <c r="GO28" s="137"/>
      <c r="GP28" s="137"/>
      <c r="GQ28" s="137"/>
      <c r="GR28" s="137"/>
      <c r="GS28" s="137"/>
      <c r="GT28" s="137"/>
      <c r="GU28" s="137"/>
      <c r="GV28" s="137"/>
      <c r="GW28" s="137"/>
      <c r="GX28" s="137"/>
      <c r="GY28" s="137"/>
      <c r="GZ28" s="137"/>
      <c r="HA28" s="137"/>
      <c r="HB28" s="137"/>
      <c r="HC28" s="137"/>
      <c r="HD28" s="137"/>
      <c r="HE28" s="137"/>
      <c r="HF28" s="137"/>
      <c r="HG28" s="137"/>
      <c r="HH28" s="137"/>
      <c r="HI28" s="137"/>
      <c r="HJ28" s="137"/>
      <c r="HK28" s="137"/>
      <c r="HL28" s="137"/>
      <c r="HM28" s="137"/>
      <c r="HN28" s="137"/>
      <c r="HO28" s="137"/>
      <c r="HP28" s="137"/>
      <c r="HQ28" s="137"/>
      <c r="HR28" s="137"/>
      <c r="HS28" s="137"/>
      <c r="HT28" s="137"/>
      <c r="HU28" s="137"/>
      <c r="HV28" s="137"/>
      <c r="HW28" s="137"/>
      <c r="HX28" s="137"/>
      <c r="HY28" s="137"/>
      <c r="HZ28" s="137"/>
      <c r="IA28" s="137"/>
      <c r="IB28" s="137"/>
      <c r="IC28" s="137"/>
      <c r="ID28" s="137"/>
      <c r="IE28" s="137"/>
      <c r="IF28" s="137"/>
      <c r="IG28" s="137"/>
      <c r="IH28" s="137"/>
      <c r="II28" s="137"/>
      <c r="IJ28" s="137"/>
      <c r="IK28" s="137"/>
      <c r="IL28" s="137"/>
      <c r="IM28" s="137"/>
      <c r="IN28" s="137"/>
      <c r="IO28" s="137"/>
      <c r="IP28" s="137"/>
      <c r="IQ28" s="137"/>
      <c r="IR28" s="137"/>
      <c r="IS28" s="137"/>
      <c r="IT28" s="137"/>
      <c r="IU28" s="137"/>
      <c r="IV28" s="137"/>
      <c r="IW28" s="137"/>
    </row>
    <row r="29" spans="1:257" ht="15.75" thickBot="1" x14ac:dyDescent="0.25">
      <c r="A29" s="265" t="s">
        <v>247</v>
      </c>
      <c r="B29" s="266"/>
      <c r="C29" s="266"/>
      <c r="D29" s="266"/>
      <c r="E29" s="266"/>
      <c r="F29" s="266"/>
      <c r="G29" s="266"/>
      <c r="H29" s="266"/>
      <c r="I29" s="266"/>
      <c r="J29" s="267"/>
      <c r="K29" s="139">
        <f>K25</f>
        <v>1929378.2400000002</v>
      </c>
      <c r="L29" s="138">
        <v>1929378.84</v>
      </c>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137"/>
      <c r="AJ29" s="137"/>
      <c r="AK29" s="137"/>
      <c r="AL29" s="137"/>
      <c r="AM29" s="137"/>
      <c r="AN29" s="137"/>
      <c r="AO29" s="137"/>
      <c r="AP29" s="137"/>
      <c r="AQ29" s="137"/>
      <c r="AR29" s="137"/>
      <c r="AS29" s="137"/>
      <c r="AT29" s="137"/>
      <c r="AU29" s="137"/>
      <c r="AV29" s="137"/>
      <c r="AW29" s="137"/>
      <c r="AX29" s="137"/>
      <c r="AY29" s="137"/>
      <c r="AZ29" s="137"/>
      <c r="BA29" s="137"/>
      <c r="BB29" s="137"/>
      <c r="BC29" s="137"/>
      <c r="BD29" s="137"/>
      <c r="BE29" s="137"/>
      <c r="BF29" s="137"/>
      <c r="BG29" s="137"/>
      <c r="BH29" s="137"/>
      <c r="BI29" s="137"/>
      <c r="BJ29" s="137"/>
      <c r="BK29" s="137"/>
      <c r="BL29" s="137"/>
      <c r="BM29" s="137"/>
      <c r="BN29" s="137"/>
      <c r="BO29" s="137"/>
      <c r="BP29" s="137"/>
      <c r="BQ29" s="137"/>
      <c r="BR29" s="137"/>
      <c r="BS29" s="137"/>
      <c r="BT29" s="137"/>
      <c r="BU29" s="137"/>
      <c r="BV29" s="137"/>
      <c r="BW29" s="137"/>
      <c r="BX29" s="137"/>
      <c r="BY29" s="137"/>
      <c r="BZ29" s="137"/>
      <c r="CA29" s="137"/>
      <c r="CB29" s="137"/>
      <c r="CC29" s="137"/>
      <c r="CD29" s="137"/>
      <c r="CE29" s="137"/>
      <c r="CF29" s="137"/>
      <c r="CG29" s="137"/>
      <c r="CH29" s="137"/>
      <c r="CI29" s="137"/>
      <c r="CJ29" s="137"/>
      <c r="CK29" s="137"/>
      <c r="CL29" s="137"/>
      <c r="CM29" s="137"/>
      <c r="CN29" s="137"/>
      <c r="CO29" s="137"/>
      <c r="CP29" s="137"/>
      <c r="CQ29" s="137"/>
      <c r="CR29" s="137"/>
      <c r="CS29" s="137"/>
      <c r="CT29" s="137"/>
      <c r="CU29" s="137"/>
      <c r="CV29" s="137"/>
      <c r="CW29" s="137"/>
      <c r="CX29" s="137"/>
      <c r="CY29" s="137"/>
      <c r="CZ29" s="137"/>
      <c r="DA29" s="137"/>
      <c r="DB29" s="137"/>
      <c r="DC29" s="137"/>
      <c r="DD29" s="137"/>
      <c r="DE29" s="137"/>
      <c r="DF29" s="137"/>
      <c r="DG29" s="137"/>
      <c r="DH29" s="137"/>
      <c r="DI29" s="137"/>
      <c r="DJ29" s="137"/>
      <c r="DK29" s="137"/>
      <c r="DL29" s="137"/>
      <c r="DM29" s="137"/>
      <c r="DN29" s="137"/>
      <c r="DO29" s="137"/>
      <c r="DP29" s="137"/>
      <c r="DQ29" s="137"/>
      <c r="DR29" s="137"/>
      <c r="DS29" s="137"/>
      <c r="DT29" s="137"/>
      <c r="DU29" s="137"/>
      <c r="DV29" s="137"/>
      <c r="DW29" s="137"/>
      <c r="DX29" s="137"/>
      <c r="DY29" s="137"/>
      <c r="DZ29" s="137"/>
      <c r="EA29" s="137"/>
      <c r="EB29" s="137"/>
      <c r="EC29" s="137"/>
      <c r="ED29" s="137"/>
      <c r="EE29" s="137"/>
      <c r="EF29" s="137"/>
      <c r="EG29" s="137"/>
      <c r="EH29" s="137"/>
      <c r="EI29" s="137"/>
      <c r="EJ29" s="137"/>
      <c r="EK29" s="137"/>
      <c r="EL29" s="137"/>
      <c r="EM29" s="137"/>
      <c r="EN29" s="137"/>
      <c r="EO29" s="137"/>
      <c r="EP29" s="137"/>
      <c r="EQ29" s="137"/>
      <c r="ER29" s="137"/>
      <c r="ES29" s="137"/>
      <c r="ET29" s="137"/>
      <c r="EU29" s="137"/>
      <c r="EV29" s="137"/>
      <c r="EW29" s="137"/>
      <c r="EX29" s="137"/>
      <c r="EY29" s="137"/>
      <c r="EZ29" s="137"/>
      <c r="FA29" s="137"/>
      <c r="FB29" s="137"/>
      <c r="FC29" s="137"/>
      <c r="FD29" s="137"/>
      <c r="FE29" s="137"/>
      <c r="FF29" s="137"/>
      <c r="FG29" s="137"/>
      <c r="FH29" s="137"/>
      <c r="FI29" s="137"/>
      <c r="FJ29" s="137"/>
      <c r="FK29" s="137"/>
      <c r="FL29" s="137"/>
      <c r="FM29" s="137"/>
      <c r="FN29" s="137"/>
      <c r="FO29" s="137"/>
      <c r="FP29" s="137"/>
      <c r="FQ29" s="137"/>
      <c r="FR29" s="137"/>
      <c r="FS29" s="137"/>
      <c r="FT29" s="137"/>
      <c r="FU29" s="137"/>
      <c r="FV29" s="137"/>
      <c r="FW29" s="137"/>
      <c r="FX29" s="137"/>
      <c r="FY29" s="137"/>
      <c r="FZ29" s="137"/>
      <c r="GA29" s="137"/>
      <c r="GB29" s="137"/>
      <c r="GC29" s="137"/>
      <c r="GD29" s="137"/>
      <c r="GE29" s="137"/>
      <c r="GF29" s="137"/>
      <c r="GG29" s="137"/>
      <c r="GH29" s="137"/>
      <c r="GI29" s="137"/>
      <c r="GJ29" s="137"/>
      <c r="GK29" s="137"/>
      <c r="GL29" s="137"/>
      <c r="GM29" s="137"/>
      <c r="GN29" s="137"/>
      <c r="GO29" s="137"/>
      <c r="GP29" s="137"/>
      <c r="GQ29" s="137"/>
      <c r="GR29" s="137"/>
      <c r="GS29" s="137"/>
      <c r="GT29" s="137"/>
      <c r="GU29" s="137"/>
      <c r="GV29" s="137"/>
      <c r="GW29" s="137"/>
      <c r="GX29" s="137"/>
      <c r="GY29" s="137"/>
      <c r="GZ29" s="137"/>
      <c r="HA29" s="137"/>
      <c r="HB29" s="137"/>
      <c r="HC29" s="137"/>
      <c r="HD29" s="137"/>
      <c r="HE29" s="137"/>
      <c r="HF29" s="137"/>
      <c r="HG29" s="137"/>
      <c r="HH29" s="137"/>
      <c r="HI29" s="137"/>
      <c r="HJ29" s="137"/>
      <c r="HK29" s="137"/>
      <c r="HL29" s="137"/>
      <c r="HM29" s="137"/>
      <c r="HN29" s="137"/>
      <c r="HO29" s="137"/>
      <c r="HP29" s="137"/>
      <c r="HQ29" s="137"/>
      <c r="HR29" s="137"/>
      <c r="HS29" s="137"/>
      <c r="HT29" s="137"/>
      <c r="HU29" s="137"/>
      <c r="HV29" s="137"/>
      <c r="HW29" s="137"/>
      <c r="HX29" s="137"/>
      <c r="HY29" s="137"/>
      <c r="HZ29" s="137"/>
      <c r="IA29" s="137"/>
      <c r="IB29" s="137"/>
      <c r="IC29" s="137"/>
      <c r="ID29" s="137"/>
      <c r="IE29" s="137"/>
      <c r="IF29" s="137"/>
      <c r="IG29" s="137"/>
      <c r="IH29" s="137"/>
      <c r="II29" s="137"/>
      <c r="IJ29" s="137"/>
      <c r="IK29" s="137"/>
      <c r="IL29" s="137"/>
      <c r="IM29" s="137"/>
      <c r="IN29" s="137"/>
      <c r="IO29" s="137"/>
      <c r="IP29" s="137"/>
      <c r="IQ29" s="137"/>
      <c r="IR29" s="137"/>
      <c r="IS29" s="137"/>
      <c r="IT29" s="137"/>
      <c r="IU29" s="137"/>
      <c r="IV29" s="137"/>
      <c r="IW29" s="137"/>
    </row>
    <row r="30" spans="1:257" ht="15.75" thickBot="1" x14ac:dyDescent="0.25">
      <c r="A30" s="259" t="s">
        <v>469</v>
      </c>
      <c r="B30" s="260"/>
      <c r="C30" s="260"/>
      <c r="D30" s="260"/>
      <c r="E30" s="260"/>
      <c r="F30" s="260"/>
      <c r="G30" s="260"/>
      <c r="H30" s="260"/>
      <c r="I30" s="260"/>
      <c r="J30" s="260"/>
      <c r="K30" s="261"/>
      <c r="L30" s="138"/>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7"/>
      <c r="AN30" s="137"/>
      <c r="AO30" s="137"/>
      <c r="AP30" s="137"/>
      <c r="AQ30" s="137"/>
      <c r="AR30" s="137"/>
      <c r="AS30" s="137"/>
      <c r="AT30" s="137"/>
      <c r="AU30" s="137"/>
      <c r="AV30" s="137"/>
      <c r="AW30" s="137"/>
      <c r="AX30" s="137"/>
      <c r="AY30" s="137"/>
      <c r="AZ30" s="137"/>
      <c r="BA30" s="137"/>
      <c r="BB30" s="137"/>
      <c r="BC30" s="137"/>
      <c r="BD30" s="137"/>
      <c r="BE30" s="137"/>
      <c r="BF30" s="137"/>
      <c r="BG30" s="137"/>
      <c r="BH30" s="137"/>
      <c r="BI30" s="137"/>
      <c r="BJ30" s="137"/>
      <c r="BK30" s="137"/>
      <c r="BL30" s="137"/>
      <c r="BM30" s="137"/>
      <c r="BN30" s="137"/>
      <c r="BO30" s="137"/>
      <c r="BP30" s="137"/>
      <c r="BQ30" s="137"/>
      <c r="BR30" s="137"/>
      <c r="BS30" s="137"/>
      <c r="BT30" s="137"/>
      <c r="BU30" s="137"/>
      <c r="BV30" s="137"/>
      <c r="BW30" s="137"/>
      <c r="BX30" s="137"/>
      <c r="BY30" s="137"/>
      <c r="BZ30" s="137"/>
      <c r="CA30" s="137"/>
      <c r="CB30" s="137"/>
      <c r="CC30" s="137"/>
      <c r="CD30" s="137"/>
      <c r="CE30" s="137"/>
      <c r="CF30" s="137"/>
      <c r="CG30" s="137"/>
      <c r="CH30" s="137"/>
      <c r="CI30" s="137"/>
      <c r="CJ30" s="137"/>
      <c r="CK30" s="137"/>
      <c r="CL30" s="137"/>
      <c r="CM30" s="137"/>
      <c r="CN30" s="137"/>
      <c r="CO30" s="137"/>
      <c r="CP30" s="137"/>
      <c r="CQ30" s="137"/>
      <c r="CR30" s="137"/>
      <c r="CS30" s="137"/>
      <c r="CT30" s="137"/>
      <c r="CU30" s="137"/>
      <c r="CV30" s="137"/>
      <c r="CW30" s="137"/>
      <c r="CX30" s="137"/>
      <c r="CY30" s="137"/>
      <c r="CZ30" s="137"/>
      <c r="DA30" s="137"/>
      <c r="DB30" s="137"/>
      <c r="DC30" s="137"/>
      <c r="DD30" s="137"/>
      <c r="DE30" s="137"/>
      <c r="DF30" s="137"/>
      <c r="DG30" s="137"/>
      <c r="DH30" s="137"/>
      <c r="DI30" s="137"/>
      <c r="DJ30" s="137"/>
      <c r="DK30" s="137"/>
      <c r="DL30" s="137"/>
      <c r="DM30" s="137"/>
      <c r="DN30" s="137"/>
      <c r="DO30" s="137"/>
      <c r="DP30" s="137"/>
      <c r="DQ30" s="137"/>
      <c r="DR30" s="137"/>
      <c r="DS30" s="137"/>
      <c r="DT30" s="137"/>
      <c r="DU30" s="137"/>
      <c r="DV30" s="137"/>
      <c r="DW30" s="137"/>
      <c r="DX30" s="137"/>
      <c r="DY30" s="137"/>
      <c r="DZ30" s="137"/>
      <c r="EA30" s="137"/>
      <c r="EB30" s="137"/>
      <c r="EC30" s="137"/>
      <c r="ED30" s="137"/>
      <c r="EE30" s="137"/>
      <c r="EF30" s="137"/>
      <c r="EG30" s="137"/>
      <c r="EH30" s="137"/>
      <c r="EI30" s="137"/>
      <c r="EJ30" s="137"/>
      <c r="EK30" s="137"/>
      <c r="EL30" s="137"/>
      <c r="EM30" s="137"/>
      <c r="EN30" s="137"/>
      <c r="EO30" s="137"/>
      <c r="EP30" s="137"/>
      <c r="EQ30" s="137"/>
      <c r="ER30" s="137"/>
      <c r="ES30" s="137"/>
      <c r="ET30" s="137"/>
      <c r="EU30" s="137"/>
      <c r="EV30" s="137"/>
      <c r="EW30" s="137"/>
      <c r="EX30" s="137"/>
      <c r="EY30" s="137"/>
      <c r="EZ30" s="137"/>
      <c r="FA30" s="137"/>
      <c r="FB30" s="137"/>
      <c r="FC30" s="137"/>
      <c r="FD30" s="137"/>
      <c r="FE30" s="137"/>
      <c r="FF30" s="137"/>
      <c r="FG30" s="137"/>
      <c r="FH30" s="137"/>
      <c r="FI30" s="137"/>
      <c r="FJ30" s="137"/>
      <c r="FK30" s="137"/>
      <c r="FL30" s="137"/>
      <c r="FM30" s="137"/>
      <c r="FN30" s="137"/>
      <c r="FO30" s="137"/>
      <c r="FP30" s="137"/>
      <c r="FQ30" s="137"/>
      <c r="FR30" s="137"/>
      <c r="FS30" s="137"/>
      <c r="FT30" s="137"/>
      <c r="FU30" s="137"/>
      <c r="FV30" s="137"/>
      <c r="FW30" s="137"/>
      <c r="FX30" s="137"/>
      <c r="FY30" s="137"/>
      <c r="FZ30" s="137"/>
      <c r="GA30" s="137"/>
      <c r="GB30" s="137"/>
      <c r="GC30" s="137"/>
      <c r="GD30" s="137"/>
      <c r="GE30" s="137"/>
      <c r="GF30" s="137"/>
      <c r="GG30" s="137"/>
      <c r="GH30" s="137"/>
      <c r="GI30" s="137"/>
      <c r="GJ30" s="137"/>
      <c r="GK30" s="137"/>
      <c r="GL30" s="137"/>
      <c r="GM30" s="137"/>
      <c r="GN30" s="137"/>
      <c r="GO30" s="137"/>
      <c r="GP30" s="137"/>
      <c r="GQ30" s="137"/>
      <c r="GR30" s="137"/>
      <c r="GS30" s="137"/>
      <c r="GT30" s="137"/>
      <c r="GU30" s="137"/>
      <c r="GV30" s="137"/>
      <c r="GW30" s="137"/>
      <c r="GX30" s="137"/>
      <c r="GY30" s="137"/>
      <c r="GZ30" s="137"/>
      <c r="HA30" s="137"/>
      <c r="HB30" s="137"/>
      <c r="HC30" s="137"/>
      <c r="HD30" s="137"/>
      <c r="HE30" s="137"/>
      <c r="HF30" s="137"/>
      <c r="HG30" s="137"/>
      <c r="HH30" s="137"/>
      <c r="HI30" s="137"/>
      <c r="HJ30" s="137"/>
      <c r="HK30" s="137"/>
      <c r="HL30" s="137"/>
      <c r="HM30" s="137"/>
      <c r="HN30" s="137"/>
      <c r="HO30" s="137"/>
      <c r="HP30" s="137"/>
      <c r="HQ30" s="137"/>
      <c r="HR30" s="137"/>
      <c r="HS30" s="137"/>
      <c r="HT30" s="137"/>
      <c r="HU30" s="137"/>
      <c r="HV30" s="137"/>
      <c r="HW30" s="137"/>
      <c r="HX30" s="137"/>
      <c r="HY30" s="137"/>
      <c r="HZ30" s="137"/>
      <c r="IA30" s="137"/>
      <c r="IB30" s="137"/>
      <c r="IC30" s="137"/>
      <c r="ID30" s="137"/>
      <c r="IE30" s="137"/>
      <c r="IF30" s="137"/>
      <c r="IG30" s="137"/>
      <c r="IH30" s="137"/>
      <c r="II30" s="137"/>
      <c r="IJ30" s="137"/>
      <c r="IK30" s="137"/>
      <c r="IL30" s="137"/>
      <c r="IM30" s="137"/>
      <c r="IN30" s="137"/>
      <c r="IO30" s="137"/>
      <c r="IP30" s="137"/>
      <c r="IQ30" s="137"/>
      <c r="IR30" s="137"/>
      <c r="IS30" s="137"/>
      <c r="IT30" s="137"/>
      <c r="IU30" s="137"/>
      <c r="IV30" s="137"/>
      <c r="IW30" s="137"/>
    </row>
    <row r="31" spans="1:257" ht="9" customHeight="1" thickBot="1" x14ac:dyDescent="0.3">
      <c r="A31" s="262"/>
      <c r="B31" s="263"/>
      <c r="C31" s="263"/>
      <c r="D31" s="263"/>
      <c r="E31" s="263"/>
      <c r="F31" s="263"/>
      <c r="G31" s="263"/>
      <c r="H31" s="263"/>
      <c r="I31" s="263"/>
      <c r="J31" s="263"/>
      <c r="K31" s="264"/>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7"/>
      <c r="AL31" s="137"/>
      <c r="AM31" s="137"/>
      <c r="AN31" s="137"/>
      <c r="AO31" s="137"/>
      <c r="AP31" s="137"/>
      <c r="AQ31" s="137"/>
      <c r="AR31" s="137"/>
      <c r="AS31" s="137"/>
      <c r="AT31" s="137"/>
      <c r="AU31" s="137"/>
      <c r="AV31" s="137"/>
      <c r="AW31" s="137"/>
      <c r="AX31" s="137"/>
      <c r="AY31" s="137"/>
      <c r="AZ31" s="137"/>
      <c r="BA31" s="137"/>
      <c r="BB31" s="137"/>
      <c r="BC31" s="137"/>
      <c r="BD31" s="137"/>
      <c r="BE31" s="137"/>
      <c r="BF31" s="137"/>
      <c r="BG31" s="137"/>
      <c r="BH31" s="137"/>
      <c r="BI31" s="137"/>
      <c r="BJ31" s="137"/>
      <c r="BK31" s="137"/>
      <c r="BL31" s="137"/>
      <c r="BM31" s="137"/>
      <c r="BN31" s="137"/>
      <c r="BO31" s="137"/>
      <c r="BP31" s="137"/>
      <c r="BQ31" s="137"/>
      <c r="BR31" s="137"/>
      <c r="BS31" s="137"/>
      <c r="BT31" s="137"/>
      <c r="BU31" s="137"/>
      <c r="BV31" s="137"/>
      <c r="BW31" s="137"/>
      <c r="BX31" s="137"/>
      <c r="BY31" s="137"/>
      <c r="BZ31" s="137"/>
      <c r="CA31" s="137"/>
      <c r="CB31" s="137"/>
      <c r="CC31" s="137"/>
      <c r="CD31" s="137"/>
      <c r="CE31" s="137"/>
      <c r="CF31" s="137"/>
      <c r="CG31" s="137"/>
      <c r="CH31" s="137"/>
      <c r="CI31" s="137"/>
      <c r="CJ31" s="137"/>
      <c r="CK31" s="137"/>
      <c r="CL31" s="137"/>
      <c r="CM31" s="137"/>
      <c r="CN31" s="137"/>
      <c r="CO31" s="137"/>
      <c r="CP31" s="137"/>
      <c r="CQ31" s="137"/>
      <c r="CR31" s="137"/>
      <c r="CS31" s="137"/>
      <c r="CT31" s="137"/>
      <c r="CU31" s="137"/>
      <c r="CV31" s="137"/>
      <c r="CW31" s="137"/>
      <c r="CX31" s="137"/>
      <c r="CY31" s="137"/>
      <c r="CZ31" s="137"/>
      <c r="DA31" s="137"/>
      <c r="DB31" s="137"/>
      <c r="DC31" s="137"/>
      <c r="DD31" s="137"/>
      <c r="DE31" s="137"/>
      <c r="DF31" s="137"/>
      <c r="DG31" s="137"/>
      <c r="DH31" s="137"/>
      <c r="DI31" s="137"/>
      <c r="DJ31" s="137"/>
      <c r="DK31" s="137"/>
      <c r="DL31" s="137"/>
      <c r="DM31" s="137"/>
      <c r="DN31" s="137"/>
      <c r="DO31" s="137"/>
      <c r="DP31" s="137"/>
      <c r="DQ31" s="137"/>
      <c r="DR31" s="137"/>
      <c r="DS31" s="137"/>
      <c r="DT31" s="137"/>
      <c r="DU31" s="137"/>
      <c r="DV31" s="137"/>
      <c r="DW31" s="137"/>
      <c r="DX31" s="137"/>
      <c r="DY31" s="137"/>
      <c r="DZ31" s="137"/>
      <c r="EA31" s="137"/>
      <c r="EB31" s="137"/>
      <c r="EC31" s="137"/>
      <c r="ED31" s="137"/>
      <c r="EE31" s="137"/>
      <c r="EF31" s="137"/>
      <c r="EG31" s="137"/>
      <c r="EH31" s="137"/>
      <c r="EI31" s="137"/>
      <c r="EJ31" s="137"/>
      <c r="EK31" s="137"/>
      <c r="EL31" s="137"/>
      <c r="EM31" s="137"/>
      <c r="EN31" s="137"/>
      <c r="EO31" s="137"/>
      <c r="EP31" s="137"/>
      <c r="EQ31" s="137"/>
      <c r="ER31" s="137"/>
      <c r="ES31" s="137"/>
      <c r="ET31" s="137"/>
      <c r="EU31" s="137"/>
      <c r="EV31" s="137"/>
      <c r="EW31" s="137"/>
      <c r="EX31" s="137"/>
      <c r="EY31" s="137"/>
      <c r="EZ31" s="137"/>
      <c r="FA31" s="137"/>
      <c r="FB31" s="137"/>
      <c r="FC31" s="137"/>
      <c r="FD31" s="137"/>
      <c r="FE31" s="137"/>
      <c r="FF31" s="137"/>
      <c r="FG31" s="137"/>
      <c r="FH31" s="137"/>
      <c r="FI31" s="137"/>
      <c r="FJ31" s="137"/>
      <c r="FK31" s="137"/>
      <c r="FL31" s="137"/>
      <c r="FM31" s="137"/>
      <c r="FN31" s="137"/>
      <c r="FO31" s="137"/>
      <c r="FP31" s="137"/>
      <c r="FQ31" s="137"/>
      <c r="FR31" s="137"/>
      <c r="FS31" s="137"/>
      <c r="FT31" s="137"/>
      <c r="FU31" s="137"/>
      <c r="FV31" s="137"/>
      <c r="FW31" s="137"/>
      <c r="FX31" s="137"/>
      <c r="FY31" s="137"/>
      <c r="FZ31" s="137"/>
      <c r="GA31" s="137"/>
      <c r="GB31" s="137"/>
      <c r="GC31" s="137"/>
      <c r="GD31" s="137"/>
      <c r="GE31" s="137"/>
      <c r="GF31" s="137"/>
      <c r="GG31" s="137"/>
      <c r="GH31" s="137"/>
      <c r="GI31" s="137"/>
      <c r="GJ31" s="137"/>
      <c r="GK31" s="137"/>
      <c r="GL31" s="137"/>
      <c r="GM31" s="137"/>
      <c r="GN31" s="137"/>
      <c r="GO31" s="137"/>
      <c r="GP31" s="137"/>
      <c r="GQ31" s="137"/>
      <c r="GR31" s="137"/>
      <c r="GS31" s="137"/>
      <c r="GT31" s="137"/>
      <c r="GU31" s="137"/>
      <c r="GV31" s="137"/>
      <c r="GW31" s="137"/>
      <c r="GX31" s="137"/>
      <c r="GY31" s="137"/>
      <c r="GZ31" s="137"/>
      <c r="HA31" s="137"/>
      <c r="HB31" s="137"/>
      <c r="HC31" s="137"/>
      <c r="HD31" s="137"/>
      <c r="HE31" s="137"/>
      <c r="HF31" s="137"/>
      <c r="HG31" s="137"/>
      <c r="HH31" s="137"/>
      <c r="HI31" s="137"/>
      <c r="HJ31" s="137"/>
      <c r="HK31" s="137"/>
      <c r="HL31" s="137"/>
      <c r="HM31" s="137"/>
      <c r="HN31" s="137"/>
      <c r="HO31" s="137"/>
      <c r="HP31" s="137"/>
      <c r="HQ31" s="137"/>
      <c r="HR31" s="137"/>
      <c r="HS31" s="137"/>
      <c r="HT31" s="137"/>
      <c r="HU31" s="137"/>
      <c r="HV31" s="137"/>
      <c r="HW31" s="137"/>
      <c r="HX31" s="137"/>
      <c r="HY31" s="137"/>
      <c r="HZ31" s="137"/>
      <c r="IA31" s="137"/>
      <c r="IB31" s="137"/>
      <c r="IC31" s="137"/>
      <c r="ID31" s="137"/>
      <c r="IE31" s="137"/>
      <c r="IF31" s="137"/>
      <c r="IG31" s="137"/>
      <c r="IH31" s="137"/>
      <c r="II31" s="137"/>
      <c r="IJ31" s="137"/>
      <c r="IK31" s="137"/>
      <c r="IL31" s="137"/>
      <c r="IM31" s="137"/>
      <c r="IN31" s="137"/>
      <c r="IO31" s="137"/>
      <c r="IP31" s="137"/>
      <c r="IQ31" s="137"/>
      <c r="IR31" s="137"/>
      <c r="IS31" s="137"/>
      <c r="IT31" s="137"/>
      <c r="IU31" s="137"/>
      <c r="IV31" s="137"/>
      <c r="IW31" s="137"/>
    </row>
    <row r="32" spans="1:257" ht="15.75" x14ac:dyDescent="0.2">
      <c r="A32" s="268" t="s">
        <v>248</v>
      </c>
      <c r="B32" s="269"/>
      <c r="C32" s="269"/>
      <c r="D32" s="269"/>
      <c r="E32" s="269"/>
      <c r="F32" s="269"/>
      <c r="G32" s="269"/>
      <c r="H32" s="269"/>
      <c r="I32" s="269"/>
      <c r="J32" s="269"/>
      <c r="K32" s="270"/>
      <c r="IM32" s="122"/>
      <c r="IN32" s="122"/>
      <c r="IO32" s="122"/>
      <c r="IP32" s="122"/>
      <c r="IQ32" s="122"/>
      <c r="IR32" s="122"/>
      <c r="IS32" s="122"/>
      <c r="IT32" s="122"/>
      <c r="IU32" s="122"/>
      <c r="IV32" s="122"/>
      <c r="IW32" s="122"/>
    </row>
    <row r="33" spans="1:257" ht="16.5" thickBot="1" x14ac:dyDescent="0.25">
      <c r="A33" s="271" t="s">
        <v>249</v>
      </c>
      <c r="B33" s="272"/>
      <c r="C33" s="272"/>
      <c r="D33" s="272"/>
      <c r="E33" s="272"/>
      <c r="F33" s="272"/>
      <c r="G33" s="272"/>
      <c r="H33" s="272"/>
      <c r="I33" s="272"/>
      <c r="J33" s="272"/>
      <c r="K33" s="273"/>
      <c r="IM33" s="122"/>
      <c r="IN33" s="122"/>
      <c r="IO33" s="122"/>
      <c r="IP33" s="122"/>
      <c r="IQ33" s="122"/>
      <c r="IR33" s="122"/>
      <c r="IS33" s="122"/>
      <c r="IT33" s="122"/>
      <c r="IU33" s="122"/>
      <c r="IV33" s="122"/>
      <c r="IW33" s="122"/>
    </row>
    <row r="34" spans="1:257" ht="16.5" thickBot="1" x14ac:dyDescent="0.25">
      <c r="A34" s="140"/>
      <c r="B34" s="141"/>
      <c r="C34" s="141"/>
      <c r="D34" s="141"/>
      <c r="E34" s="141"/>
      <c r="F34" s="141"/>
      <c r="G34" s="141"/>
      <c r="H34" s="141"/>
      <c r="I34" s="141"/>
      <c r="J34" s="141"/>
      <c r="K34" s="142"/>
      <c r="IM34" s="122"/>
      <c r="IN34" s="122"/>
      <c r="IO34" s="122"/>
      <c r="IP34" s="122"/>
      <c r="IQ34" s="122"/>
      <c r="IR34" s="122"/>
      <c r="IS34" s="122"/>
      <c r="IT34" s="122"/>
      <c r="IU34" s="122"/>
      <c r="IV34" s="122"/>
      <c r="IW34" s="122"/>
    </row>
    <row r="35" spans="1:257" ht="15.75" x14ac:dyDescent="0.2">
      <c r="A35" s="274" t="s">
        <v>250</v>
      </c>
      <c r="B35" s="275"/>
      <c r="C35" s="275"/>
      <c r="D35" s="275"/>
      <c r="E35" s="275"/>
      <c r="F35" s="275"/>
      <c r="G35" s="275"/>
      <c r="H35" s="275"/>
      <c r="I35" s="275"/>
      <c r="J35" s="275"/>
      <c r="K35" s="276"/>
      <c r="IM35" s="122"/>
      <c r="IN35" s="122"/>
      <c r="IO35" s="122"/>
      <c r="IP35" s="122"/>
      <c r="IQ35" s="122"/>
      <c r="IR35" s="122"/>
      <c r="IS35" s="122"/>
      <c r="IT35" s="122"/>
      <c r="IU35" s="122"/>
      <c r="IV35" s="122"/>
      <c r="IW35" s="122"/>
    </row>
    <row r="36" spans="1:257" ht="15.75" x14ac:dyDescent="0.2">
      <c r="A36" s="277" t="s">
        <v>251</v>
      </c>
      <c r="B36" s="278"/>
      <c r="C36" s="278"/>
      <c r="D36" s="278"/>
      <c r="E36" s="278"/>
      <c r="F36" s="278"/>
      <c r="G36" s="278"/>
      <c r="H36" s="278"/>
      <c r="I36" s="278"/>
      <c r="J36" s="278"/>
      <c r="K36" s="143"/>
      <c r="IM36" s="122"/>
      <c r="IN36" s="122"/>
      <c r="IO36" s="122"/>
      <c r="IP36" s="122"/>
      <c r="IQ36" s="122"/>
      <c r="IR36" s="122"/>
      <c r="IS36" s="122"/>
      <c r="IT36" s="122"/>
      <c r="IU36" s="122"/>
      <c r="IV36" s="122"/>
      <c r="IW36" s="122"/>
    </row>
    <row r="37" spans="1:257" ht="15.75" x14ac:dyDescent="0.2">
      <c r="A37" s="249" t="s">
        <v>252</v>
      </c>
      <c r="B37" s="250"/>
      <c r="C37" s="250"/>
      <c r="D37" s="250"/>
      <c r="E37" s="250"/>
      <c r="F37" s="250"/>
      <c r="G37" s="250"/>
      <c r="H37" s="250"/>
      <c r="I37" s="250"/>
      <c r="J37" s="250"/>
      <c r="K37" s="143"/>
      <c r="IM37" s="122"/>
      <c r="IN37" s="122"/>
      <c r="IO37" s="122"/>
      <c r="IP37" s="122"/>
      <c r="IQ37" s="122"/>
      <c r="IR37" s="122"/>
      <c r="IS37" s="122"/>
      <c r="IT37" s="122"/>
      <c r="IU37" s="122"/>
      <c r="IV37" s="122"/>
      <c r="IW37" s="122"/>
    </row>
    <row r="38" spans="1:257" ht="15.75" x14ac:dyDescent="0.25">
      <c r="A38" s="249" t="s">
        <v>253</v>
      </c>
      <c r="B38" s="250"/>
      <c r="C38" s="250"/>
      <c r="D38" s="250"/>
      <c r="E38" s="250"/>
      <c r="F38" s="119"/>
      <c r="G38" s="119"/>
      <c r="H38" s="144"/>
      <c r="I38" s="144"/>
      <c r="J38" s="251" t="s">
        <v>254</v>
      </c>
      <c r="K38" s="252"/>
      <c r="IM38" s="122"/>
      <c r="IN38" s="122"/>
      <c r="IO38" s="122"/>
      <c r="IP38" s="122"/>
      <c r="IQ38" s="122"/>
      <c r="IR38" s="122"/>
      <c r="IS38" s="122"/>
      <c r="IT38" s="122"/>
      <c r="IU38" s="122"/>
      <c r="IV38" s="122"/>
      <c r="IW38" s="122"/>
    </row>
    <row r="39" spans="1:257" ht="15.75" x14ac:dyDescent="0.25">
      <c r="A39" s="249" t="s">
        <v>255</v>
      </c>
      <c r="B39" s="250"/>
      <c r="C39" s="250"/>
      <c r="D39" s="250"/>
      <c r="E39" s="250"/>
      <c r="F39" s="119"/>
      <c r="G39" s="119"/>
      <c r="H39" s="144"/>
      <c r="I39" s="144"/>
      <c r="J39" s="251" t="s">
        <v>256</v>
      </c>
      <c r="K39" s="252"/>
      <c r="IM39" s="122"/>
      <c r="IN39" s="122"/>
      <c r="IO39" s="122"/>
      <c r="IP39" s="122"/>
      <c r="IQ39" s="122"/>
      <c r="IR39" s="122"/>
      <c r="IS39" s="122"/>
      <c r="IT39" s="122"/>
      <c r="IU39" s="122"/>
      <c r="IV39" s="122"/>
      <c r="IW39" s="122"/>
    </row>
    <row r="40" spans="1:257" ht="15.75" x14ac:dyDescent="0.25">
      <c r="A40" s="249" t="s">
        <v>257</v>
      </c>
      <c r="B40" s="250"/>
      <c r="C40" s="250"/>
      <c r="D40" s="250"/>
      <c r="E40" s="250"/>
      <c r="F40" s="119"/>
      <c r="G40" s="119"/>
      <c r="H40" s="144"/>
      <c r="I40" s="144"/>
      <c r="J40" s="251" t="s">
        <v>258</v>
      </c>
      <c r="K40" s="252"/>
      <c r="IM40" s="122"/>
      <c r="IN40" s="122"/>
      <c r="IO40" s="122"/>
      <c r="IP40" s="122"/>
      <c r="IQ40" s="122"/>
      <c r="IR40" s="122"/>
      <c r="IS40" s="122"/>
      <c r="IT40" s="122"/>
      <c r="IU40" s="122"/>
      <c r="IV40" s="122"/>
      <c r="IW40" s="122"/>
    </row>
    <row r="41" spans="1:257" ht="16.5" thickBot="1" x14ac:dyDescent="0.3">
      <c r="A41" s="233" t="s">
        <v>259</v>
      </c>
      <c r="B41" s="234"/>
      <c r="C41" s="234"/>
      <c r="D41" s="234"/>
      <c r="E41" s="234"/>
      <c r="F41" s="145"/>
      <c r="G41" s="145"/>
      <c r="H41" s="146"/>
      <c r="I41" s="146"/>
      <c r="J41" s="235" t="s">
        <v>260</v>
      </c>
      <c r="K41" s="236"/>
      <c r="IM41" s="122"/>
      <c r="IN41" s="122"/>
      <c r="IO41" s="122"/>
      <c r="IP41" s="122"/>
      <c r="IQ41" s="122"/>
      <c r="IR41" s="122"/>
      <c r="IS41" s="122"/>
      <c r="IT41" s="122"/>
      <c r="IU41" s="122"/>
      <c r="IV41" s="122"/>
      <c r="IW41" s="122"/>
    </row>
    <row r="42" spans="1:257" ht="16.5" thickBot="1" x14ac:dyDescent="0.25">
      <c r="A42" s="237" t="s">
        <v>261</v>
      </c>
      <c r="B42" s="238"/>
      <c r="C42" s="238"/>
      <c r="D42" s="238"/>
      <c r="E42" s="238"/>
      <c r="F42" s="238"/>
      <c r="G42" s="238"/>
      <c r="H42" s="238"/>
      <c r="I42" s="238"/>
      <c r="J42" s="238"/>
      <c r="K42" s="239"/>
      <c r="IM42" s="122"/>
      <c r="IN42" s="122"/>
      <c r="IO42" s="122"/>
      <c r="IP42" s="122"/>
      <c r="IQ42" s="122"/>
      <c r="IR42" s="122"/>
      <c r="IS42" s="122"/>
      <c r="IT42" s="122"/>
      <c r="IU42" s="122"/>
      <c r="IV42" s="122"/>
      <c r="IW42" s="122"/>
    </row>
    <row r="43" spans="1:257" ht="38.25" customHeight="1" x14ac:dyDescent="0.2">
      <c r="A43" s="240" t="s">
        <v>262</v>
      </c>
      <c r="B43" s="241"/>
      <c r="C43" s="241"/>
      <c r="D43" s="241"/>
      <c r="E43" s="241"/>
      <c r="F43" s="241"/>
      <c r="G43" s="241"/>
      <c r="H43" s="241"/>
      <c r="I43" s="241"/>
      <c r="J43" s="241"/>
      <c r="K43" s="242"/>
      <c r="IM43" s="122"/>
      <c r="IN43" s="122"/>
      <c r="IO43" s="122"/>
      <c r="IP43" s="122"/>
      <c r="IQ43" s="122"/>
      <c r="IR43" s="122"/>
      <c r="IS43" s="122"/>
      <c r="IT43" s="122"/>
      <c r="IU43" s="122"/>
      <c r="IV43" s="122"/>
      <c r="IW43" s="122"/>
    </row>
    <row r="44" spans="1:257" ht="15.75" x14ac:dyDescent="0.2">
      <c r="A44" s="243" t="s">
        <v>263</v>
      </c>
      <c r="B44" s="244"/>
      <c r="C44" s="244"/>
      <c r="D44" s="244"/>
      <c r="E44" s="244"/>
      <c r="F44" s="244"/>
      <c r="G44" s="244"/>
      <c r="H44" s="244"/>
      <c r="I44" s="244"/>
      <c r="J44" s="244"/>
      <c r="K44" s="245"/>
      <c r="IM44" s="122"/>
      <c r="IN44" s="122"/>
      <c r="IO44" s="122"/>
      <c r="IP44" s="122"/>
      <c r="IQ44" s="122"/>
      <c r="IR44" s="122"/>
      <c r="IS44" s="122"/>
      <c r="IT44" s="122"/>
      <c r="IU44" s="122"/>
      <c r="IV44" s="122"/>
      <c r="IW44" s="122"/>
    </row>
    <row r="45" spans="1:257" ht="15.75" x14ac:dyDescent="0.2">
      <c r="A45" s="246" t="s">
        <v>264</v>
      </c>
      <c r="B45" s="247"/>
      <c r="C45" s="247"/>
      <c r="D45" s="247"/>
      <c r="E45" s="247"/>
      <c r="F45" s="247"/>
      <c r="G45" s="247"/>
      <c r="H45" s="247"/>
      <c r="I45" s="247"/>
      <c r="J45" s="247"/>
      <c r="K45" s="248"/>
      <c r="IM45" s="122"/>
      <c r="IN45" s="122"/>
      <c r="IO45" s="122"/>
      <c r="IP45" s="122"/>
      <c r="IQ45" s="122"/>
      <c r="IR45" s="122"/>
      <c r="IS45" s="122"/>
      <c r="IT45" s="122"/>
      <c r="IU45" s="122"/>
      <c r="IV45" s="122"/>
      <c r="IW45" s="122"/>
    </row>
    <row r="46" spans="1:257" ht="15.75" x14ac:dyDescent="0.25">
      <c r="A46" s="222"/>
      <c r="B46" s="223"/>
      <c r="C46" s="223"/>
      <c r="D46" s="223"/>
      <c r="E46" s="223"/>
      <c r="F46" s="223"/>
      <c r="G46" s="223"/>
      <c r="H46" s="223"/>
      <c r="I46" s="109"/>
      <c r="J46" s="115"/>
      <c r="K46" s="111"/>
      <c r="IM46" s="122"/>
      <c r="IN46" s="122"/>
      <c r="IO46" s="122"/>
      <c r="IP46" s="122"/>
      <c r="IQ46" s="122"/>
      <c r="IR46" s="122"/>
      <c r="IS46" s="122"/>
      <c r="IT46" s="122"/>
      <c r="IU46" s="122"/>
      <c r="IV46" s="122"/>
      <c r="IW46" s="122"/>
    </row>
    <row r="47" spans="1:257" ht="15.75" x14ac:dyDescent="0.25">
      <c r="A47" s="224" t="s">
        <v>471</v>
      </c>
      <c r="B47" s="225"/>
      <c r="C47" s="225"/>
      <c r="D47" s="225"/>
      <c r="E47" s="225"/>
      <c r="F47" s="225"/>
      <c r="G47" s="225"/>
      <c r="H47" s="225"/>
      <c r="I47" s="225"/>
      <c r="J47" s="225"/>
      <c r="K47" s="226"/>
      <c r="IM47" s="122"/>
      <c r="IN47" s="122"/>
      <c r="IO47" s="122"/>
      <c r="IP47" s="122"/>
      <c r="IQ47" s="122"/>
      <c r="IR47" s="122"/>
      <c r="IS47" s="122"/>
      <c r="IT47" s="122"/>
      <c r="IU47" s="122"/>
      <c r="IV47" s="122"/>
      <c r="IW47" s="122"/>
    </row>
    <row r="48" spans="1:257" ht="15.75" x14ac:dyDescent="0.25">
      <c r="A48" s="116"/>
      <c r="B48" s="117"/>
      <c r="C48" s="117"/>
      <c r="D48" s="117"/>
      <c r="E48" s="117"/>
      <c r="F48" s="117"/>
      <c r="G48" s="117"/>
      <c r="H48" s="117"/>
      <c r="I48" s="109"/>
      <c r="J48" s="115"/>
      <c r="K48" s="111"/>
      <c r="IM48" s="122"/>
      <c r="IN48" s="122"/>
      <c r="IO48" s="122"/>
      <c r="IP48" s="122"/>
      <c r="IQ48" s="122"/>
      <c r="IR48" s="122"/>
      <c r="IS48" s="122"/>
      <c r="IT48" s="122"/>
      <c r="IU48" s="122"/>
      <c r="IV48" s="122"/>
      <c r="IW48" s="122"/>
    </row>
    <row r="49" spans="1:257" ht="15.75" x14ac:dyDescent="0.25">
      <c r="A49" s="147"/>
      <c r="B49" s="148"/>
      <c r="C49" s="148"/>
      <c r="D49" s="148"/>
      <c r="E49" s="148"/>
      <c r="F49" s="148"/>
      <c r="G49" s="148"/>
      <c r="H49" s="148"/>
      <c r="I49" s="148"/>
      <c r="J49" s="148"/>
      <c r="K49" s="111"/>
      <c r="IM49" s="122"/>
      <c r="IN49" s="122"/>
      <c r="IO49" s="122"/>
      <c r="IP49" s="122"/>
      <c r="IQ49" s="122"/>
      <c r="IR49" s="122"/>
      <c r="IS49" s="122"/>
      <c r="IT49" s="122"/>
      <c r="IU49" s="122"/>
      <c r="IV49" s="122"/>
      <c r="IW49" s="122"/>
    </row>
    <row r="50" spans="1:257" ht="15.75" x14ac:dyDescent="0.25">
      <c r="A50" s="147"/>
      <c r="B50" s="148"/>
      <c r="C50" s="148"/>
      <c r="D50" s="148"/>
      <c r="E50" s="148"/>
      <c r="F50" s="148"/>
      <c r="G50" s="148"/>
      <c r="H50" s="148"/>
      <c r="I50" s="148"/>
      <c r="J50" s="148"/>
      <c r="K50" s="111"/>
      <c r="IM50" s="122"/>
      <c r="IN50" s="122"/>
      <c r="IO50" s="122"/>
      <c r="IP50" s="122"/>
      <c r="IQ50" s="122"/>
      <c r="IR50" s="122"/>
      <c r="IS50" s="122"/>
      <c r="IT50" s="122"/>
      <c r="IU50" s="122"/>
      <c r="IV50" s="122"/>
      <c r="IW50" s="122"/>
    </row>
    <row r="51" spans="1:257" ht="15.75" x14ac:dyDescent="0.25">
      <c r="A51" s="227" t="s">
        <v>265</v>
      </c>
      <c r="B51" s="228"/>
      <c r="C51" s="228"/>
      <c r="D51" s="228"/>
      <c r="E51" s="228"/>
      <c r="F51" s="228"/>
      <c r="G51" s="228"/>
      <c r="H51" s="228"/>
      <c r="I51" s="228"/>
      <c r="J51" s="228"/>
      <c r="K51" s="229"/>
      <c r="IM51" s="122"/>
      <c r="IN51" s="122"/>
      <c r="IO51" s="122"/>
      <c r="IP51" s="122"/>
      <c r="IQ51" s="122"/>
      <c r="IR51" s="122"/>
      <c r="IS51" s="122"/>
      <c r="IT51" s="122"/>
      <c r="IU51" s="122"/>
      <c r="IV51" s="122"/>
      <c r="IW51" s="122"/>
    </row>
    <row r="52" spans="1:257" x14ac:dyDescent="0.2">
      <c r="A52" s="230" t="s">
        <v>266</v>
      </c>
      <c r="B52" s="231"/>
      <c r="C52" s="231"/>
      <c r="D52" s="231"/>
      <c r="E52" s="231"/>
      <c r="F52" s="231"/>
      <c r="G52" s="231"/>
      <c r="H52" s="231"/>
      <c r="I52" s="231"/>
      <c r="J52" s="231"/>
      <c r="K52" s="232"/>
      <c r="IM52" s="122"/>
      <c r="IN52" s="122"/>
      <c r="IO52" s="122"/>
      <c r="IP52" s="122"/>
      <c r="IQ52" s="122"/>
      <c r="IR52" s="122"/>
      <c r="IS52" s="122"/>
      <c r="IT52" s="122"/>
      <c r="IU52" s="122"/>
      <c r="IV52" s="122"/>
      <c r="IW52" s="122"/>
    </row>
    <row r="53" spans="1:257" ht="16.5" thickBot="1" x14ac:dyDescent="0.3">
      <c r="A53" s="149"/>
      <c r="B53" s="150"/>
      <c r="C53" s="150"/>
      <c r="D53" s="150"/>
      <c r="E53" s="150"/>
      <c r="F53" s="150"/>
      <c r="G53" s="150"/>
      <c r="H53" s="150"/>
      <c r="I53" s="150"/>
      <c r="J53" s="151"/>
      <c r="K53" s="152"/>
    </row>
    <row r="54" spans="1:257" ht="15.75" x14ac:dyDescent="0.25">
      <c r="A54" s="153"/>
      <c r="B54" s="153"/>
      <c r="C54" s="153"/>
      <c r="D54" s="153"/>
      <c r="E54" s="153"/>
      <c r="F54" s="153"/>
      <c r="G54" s="153"/>
      <c r="H54" s="153"/>
      <c r="I54" s="153"/>
      <c r="J54" s="153"/>
      <c r="K54" s="153"/>
    </row>
  </sheetData>
  <mergeCells count="57">
    <mergeCell ref="A10:K10"/>
    <mergeCell ref="D2:K2"/>
    <mergeCell ref="A5:J5"/>
    <mergeCell ref="A6:J6"/>
    <mergeCell ref="A7:J7"/>
    <mergeCell ref="A9:K9"/>
    <mergeCell ref="A19:B19"/>
    <mergeCell ref="C19:D19"/>
    <mergeCell ref="A11:J11"/>
    <mergeCell ref="A12:K12"/>
    <mergeCell ref="A13:H13"/>
    <mergeCell ref="J13:K13"/>
    <mergeCell ref="A14:H14"/>
    <mergeCell ref="J14:K14"/>
    <mergeCell ref="A15:H15"/>
    <mergeCell ref="A16:K16"/>
    <mergeCell ref="A17:H17"/>
    <mergeCell ref="J17:K17"/>
    <mergeCell ref="A18:K18"/>
    <mergeCell ref="A20:B20"/>
    <mergeCell ref="C20:D20"/>
    <mergeCell ref="A21:B21"/>
    <mergeCell ref="C21:D21"/>
    <mergeCell ref="A24:B24"/>
    <mergeCell ref="C24:D24"/>
    <mergeCell ref="A23:B23"/>
    <mergeCell ref="C23:D23"/>
    <mergeCell ref="A22:B22"/>
    <mergeCell ref="C22:D22"/>
    <mergeCell ref="A37:J37"/>
    <mergeCell ref="A25:E25"/>
    <mergeCell ref="A26:J26"/>
    <mergeCell ref="A27:K27"/>
    <mergeCell ref="A28:K28"/>
    <mergeCell ref="A29:J29"/>
    <mergeCell ref="A30:K30"/>
    <mergeCell ref="A31:K31"/>
    <mergeCell ref="A32:K32"/>
    <mergeCell ref="A33:K33"/>
    <mergeCell ref="A35:K35"/>
    <mergeCell ref="A36:J36"/>
    <mergeCell ref="A38:E38"/>
    <mergeCell ref="J38:K38"/>
    <mergeCell ref="A39:E39"/>
    <mergeCell ref="J39:K39"/>
    <mergeCell ref="A40:E40"/>
    <mergeCell ref="J40:K40"/>
    <mergeCell ref="A46:H46"/>
    <mergeCell ref="A47:K47"/>
    <mergeCell ref="A51:K51"/>
    <mergeCell ref="A52:K52"/>
    <mergeCell ref="A41:E41"/>
    <mergeCell ref="J41:K41"/>
    <mergeCell ref="A42:K42"/>
    <mergeCell ref="A43:K43"/>
    <mergeCell ref="A44:K44"/>
    <mergeCell ref="A45:K45"/>
  </mergeCells>
  <printOptions horizontalCentered="1" verticalCentered="1"/>
  <pageMargins left="0.51181102362204722" right="0.51181102362204722" top="0.59055118110236227" bottom="0.59055118110236227" header="0.31496062992125984" footer="0.31496062992125984"/>
  <pageSetup paperSize="9" scale="59" fitToWidth="0" fitToHeight="0" orientation="portrait"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DCB6B-F525-4B87-B169-F3DE6D65357A}">
  <dimension ref="A1:L12"/>
  <sheetViews>
    <sheetView topLeftCell="A4" zoomScaleNormal="100" workbookViewId="0">
      <selection activeCell="F9" sqref="F9"/>
    </sheetView>
  </sheetViews>
  <sheetFormatPr defaultRowHeight="15" x14ac:dyDescent="0.25"/>
  <cols>
    <col min="1" max="1" width="7" style="199" bestFit="1" customWidth="1"/>
    <col min="2" max="2" width="47.7109375" style="199" customWidth="1"/>
    <col min="3" max="5" width="12.85546875" style="199" customWidth="1"/>
    <col min="6" max="6" width="16.7109375" style="199" bestFit="1" customWidth="1"/>
    <col min="7" max="7" width="15.42578125" style="199" bestFit="1" customWidth="1"/>
    <col min="8" max="8" width="12.5703125" style="199" bestFit="1" customWidth="1"/>
    <col min="9" max="9" width="12.140625" style="199" bestFit="1" customWidth="1"/>
    <col min="10" max="10" width="9.5703125" style="199" bestFit="1" customWidth="1"/>
    <col min="11" max="256" width="9.140625" style="199"/>
    <col min="257" max="257" width="7" style="199" bestFit="1" customWidth="1"/>
    <col min="258" max="258" width="44" style="199" bestFit="1" customWidth="1"/>
    <col min="259" max="259" width="9.42578125" style="199" bestFit="1" customWidth="1"/>
    <col min="260" max="260" width="13.7109375" style="199" bestFit="1" customWidth="1"/>
    <col min="261" max="261" width="16.85546875" style="199" bestFit="1" customWidth="1"/>
    <col min="262" max="262" width="9.140625" style="199"/>
    <col min="263" max="263" width="25.7109375" style="199" bestFit="1" customWidth="1"/>
    <col min="264" max="264" width="12.5703125" style="199" bestFit="1" customWidth="1"/>
    <col min="265" max="512" width="9.140625" style="199"/>
    <col min="513" max="513" width="7" style="199" bestFit="1" customWidth="1"/>
    <col min="514" max="514" width="44" style="199" bestFit="1" customWidth="1"/>
    <col min="515" max="515" width="9.42578125" style="199" bestFit="1" customWidth="1"/>
    <col min="516" max="516" width="13.7109375" style="199" bestFit="1" customWidth="1"/>
    <col min="517" max="517" width="16.85546875" style="199" bestFit="1" customWidth="1"/>
    <col min="518" max="518" width="9.140625" style="199"/>
    <col min="519" max="519" width="25.7109375" style="199" bestFit="1" customWidth="1"/>
    <col min="520" max="520" width="12.5703125" style="199" bestFit="1" customWidth="1"/>
    <col min="521" max="768" width="9.140625" style="199"/>
    <col min="769" max="769" width="7" style="199" bestFit="1" customWidth="1"/>
    <col min="770" max="770" width="44" style="199" bestFit="1" customWidth="1"/>
    <col min="771" max="771" width="9.42578125" style="199" bestFit="1" customWidth="1"/>
    <col min="772" max="772" width="13.7109375" style="199" bestFit="1" customWidth="1"/>
    <col min="773" max="773" width="16.85546875" style="199" bestFit="1" customWidth="1"/>
    <col min="774" max="774" width="9.140625" style="199"/>
    <col min="775" max="775" width="25.7109375" style="199" bestFit="1" customWidth="1"/>
    <col min="776" max="776" width="12.5703125" style="199" bestFit="1" customWidth="1"/>
    <col min="777" max="1024" width="9.140625" style="199"/>
    <col min="1025" max="1025" width="7" style="199" bestFit="1" customWidth="1"/>
    <col min="1026" max="1026" width="44" style="199" bestFit="1" customWidth="1"/>
    <col min="1027" max="1027" width="9.42578125" style="199" bestFit="1" customWidth="1"/>
    <col min="1028" max="1028" width="13.7109375" style="199" bestFit="1" customWidth="1"/>
    <col min="1029" max="1029" width="16.85546875" style="199" bestFit="1" customWidth="1"/>
    <col min="1030" max="1030" width="9.140625" style="199"/>
    <col min="1031" max="1031" width="25.7109375" style="199" bestFit="1" customWidth="1"/>
    <col min="1032" max="1032" width="12.5703125" style="199" bestFit="1" customWidth="1"/>
    <col min="1033" max="1280" width="9.140625" style="199"/>
    <col min="1281" max="1281" width="7" style="199" bestFit="1" customWidth="1"/>
    <col min="1282" max="1282" width="44" style="199" bestFit="1" customWidth="1"/>
    <col min="1283" max="1283" width="9.42578125" style="199" bestFit="1" customWidth="1"/>
    <col min="1284" max="1284" width="13.7109375" style="199" bestFit="1" customWidth="1"/>
    <col min="1285" max="1285" width="16.85546875" style="199" bestFit="1" customWidth="1"/>
    <col min="1286" max="1286" width="9.140625" style="199"/>
    <col min="1287" max="1287" width="25.7109375" style="199" bestFit="1" customWidth="1"/>
    <col min="1288" max="1288" width="12.5703125" style="199" bestFit="1" customWidth="1"/>
    <col min="1289" max="1536" width="9.140625" style="199"/>
    <col min="1537" max="1537" width="7" style="199" bestFit="1" customWidth="1"/>
    <col min="1538" max="1538" width="44" style="199" bestFit="1" customWidth="1"/>
    <col min="1539" max="1539" width="9.42578125" style="199" bestFit="1" customWidth="1"/>
    <col min="1540" max="1540" width="13.7109375" style="199" bestFit="1" customWidth="1"/>
    <col min="1541" max="1541" width="16.85546875" style="199" bestFit="1" customWidth="1"/>
    <col min="1542" max="1542" width="9.140625" style="199"/>
    <col min="1543" max="1543" width="25.7109375" style="199" bestFit="1" customWidth="1"/>
    <col min="1544" max="1544" width="12.5703125" style="199" bestFit="1" customWidth="1"/>
    <col min="1545" max="1792" width="9.140625" style="199"/>
    <col min="1793" max="1793" width="7" style="199" bestFit="1" customWidth="1"/>
    <col min="1794" max="1794" width="44" style="199" bestFit="1" customWidth="1"/>
    <col min="1795" max="1795" width="9.42578125" style="199" bestFit="1" customWidth="1"/>
    <col min="1796" max="1796" width="13.7109375" style="199" bestFit="1" customWidth="1"/>
    <col min="1797" max="1797" width="16.85546875" style="199" bestFit="1" customWidth="1"/>
    <col min="1798" max="1798" width="9.140625" style="199"/>
    <col min="1799" max="1799" width="25.7109375" style="199" bestFit="1" customWidth="1"/>
    <col min="1800" max="1800" width="12.5703125" style="199" bestFit="1" customWidth="1"/>
    <col min="1801" max="2048" width="9.140625" style="199"/>
    <col min="2049" max="2049" width="7" style="199" bestFit="1" customWidth="1"/>
    <col min="2050" max="2050" width="44" style="199" bestFit="1" customWidth="1"/>
    <col min="2051" max="2051" width="9.42578125" style="199" bestFit="1" customWidth="1"/>
    <col min="2052" max="2052" width="13.7109375" style="199" bestFit="1" customWidth="1"/>
    <col min="2053" max="2053" width="16.85546875" style="199" bestFit="1" customWidth="1"/>
    <col min="2054" max="2054" width="9.140625" style="199"/>
    <col min="2055" max="2055" width="25.7109375" style="199" bestFit="1" customWidth="1"/>
    <col min="2056" max="2056" width="12.5703125" style="199" bestFit="1" customWidth="1"/>
    <col min="2057" max="2304" width="9.140625" style="199"/>
    <col min="2305" max="2305" width="7" style="199" bestFit="1" customWidth="1"/>
    <col min="2306" max="2306" width="44" style="199" bestFit="1" customWidth="1"/>
    <col min="2307" max="2307" width="9.42578125" style="199" bestFit="1" customWidth="1"/>
    <col min="2308" max="2308" width="13.7109375" style="199" bestFit="1" customWidth="1"/>
    <col min="2309" max="2309" width="16.85546875" style="199" bestFit="1" customWidth="1"/>
    <col min="2310" max="2310" width="9.140625" style="199"/>
    <col min="2311" max="2311" width="25.7109375" style="199" bestFit="1" customWidth="1"/>
    <col min="2312" max="2312" width="12.5703125" style="199" bestFit="1" customWidth="1"/>
    <col min="2313" max="2560" width="9.140625" style="199"/>
    <col min="2561" max="2561" width="7" style="199" bestFit="1" customWidth="1"/>
    <col min="2562" max="2562" width="44" style="199" bestFit="1" customWidth="1"/>
    <col min="2563" max="2563" width="9.42578125" style="199" bestFit="1" customWidth="1"/>
    <col min="2564" max="2564" width="13.7109375" style="199" bestFit="1" customWidth="1"/>
    <col min="2565" max="2565" width="16.85546875" style="199" bestFit="1" customWidth="1"/>
    <col min="2566" max="2566" width="9.140625" style="199"/>
    <col min="2567" max="2567" width="25.7109375" style="199" bestFit="1" customWidth="1"/>
    <col min="2568" max="2568" width="12.5703125" style="199" bestFit="1" customWidth="1"/>
    <col min="2569" max="2816" width="9.140625" style="199"/>
    <col min="2817" max="2817" width="7" style="199" bestFit="1" customWidth="1"/>
    <col min="2818" max="2818" width="44" style="199" bestFit="1" customWidth="1"/>
    <col min="2819" max="2819" width="9.42578125" style="199" bestFit="1" customWidth="1"/>
    <col min="2820" max="2820" width="13.7109375" style="199" bestFit="1" customWidth="1"/>
    <col min="2821" max="2821" width="16.85546875" style="199" bestFit="1" customWidth="1"/>
    <col min="2822" max="2822" width="9.140625" style="199"/>
    <col min="2823" max="2823" width="25.7109375" style="199" bestFit="1" customWidth="1"/>
    <col min="2824" max="2824" width="12.5703125" style="199" bestFit="1" customWidth="1"/>
    <col min="2825" max="3072" width="9.140625" style="199"/>
    <col min="3073" max="3073" width="7" style="199" bestFit="1" customWidth="1"/>
    <col min="3074" max="3074" width="44" style="199" bestFit="1" customWidth="1"/>
    <col min="3075" max="3075" width="9.42578125" style="199" bestFit="1" customWidth="1"/>
    <col min="3076" max="3076" width="13.7109375" style="199" bestFit="1" customWidth="1"/>
    <col min="3077" max="3077" width="16.85546875" style="199" bestFit="1" customWidth="1"/>
    <col min="3078" max="3078" width="9.140625" style="199"/>
    <col min="3079" max="3079" width="25.7109375" style="199" bestFit="1" customWidth="1"/>
    <col min="3080" max="3080" width="12.5703125" style="199" bestFit="1" customWidth="1"/>
    <col min="3081" max="3328" width="9.140625" style="199"/>
    <col min="3329" max="3329" width="7" style="199" bestFit="1" customWidth="1"/>
    <col min="3330" max="3330" width="44" style="199" bestFit="1" customWidth="1"/>
    <col min="3331" max="3331" width="9.42578125" style="199" bestFit="1" customWidth="1"/>
    <col min="3332" max="3332" width="13.7109375" style="199" bestFit="1" customWidth="1"/>
    <col min="3333" max="3333" width="16.85546875" style="199" bestFit="1" customWidth="1"/>
    <col min="3334" max="3334" width="9.140625" style="199"/>
    <col min="3335" max="3335" width="25.7109375" style="199" bestFit="1" customWidth="1"/>
    <col min="3336" max="3336" width="12.5703125" style="199" bestFit="1" customWidth="1"/>
    <col min="3337" max="3584" width="9.140625" style="199"/>
    <col min="3585" max="3585" width="7" style="199" bestFit="1" customWidth="1"/>
    <col min="3586" max="3586" width="44" style="199" bestFit="1" customWidth="1"/>
    <col min="3587" max="3587" width="9.42578125" style="199" bestFit="1" customWidth="1"/>
    <col min="3588" max="3588" width="13.7109375" style="199" bestFit="1" customWidth="1"/>
    <col min="3589" max="3589" width="16.85546875" style="199" bestFit="1" customWidth="1"/>
    <col min="3590" max="3590" width="9.140625" style="199"/>
    <col min="3591" max="3591" width="25.7109375" style="199" bestFit="1" customWidth="1"/>
    <col min="3592" max="3592" width="12.5703125" style="199" bestFit="1" customWidth="1"/>
    <col min="3593" max="3840" width="9.140625" style="199"/>
    <col min="3841" max="3841" width="7" style="199" bestFit="1" customWidth="1"/>
    <col min="3842" max="3842" width="44" style="199" bestFit="1" customWidth="1"/>
    <col min="3843" max="3843" width="9.42578125" style="199" bestFit="1" customWidth="1"/>
    <col min="3844" max="3844" width="13.7109375" style="199" bestFit="1" customWidth="1"/>
    <col min="3845" max="3845" width="16.85546875" style="199" bestFit="1" customWidth="1"/>
    <col min="3846" max="3846" width="9.140625" style="199"/>
    <col min="3847" max="3847" width="25.7109375" style="199" bestFit="1" customWidth="1"/>
    <col min="3848" max="3848" width="12.5703125" style="199" bestFit="1" customWidth="1"/>
    <col min="3849" max="4096" width="9.140625" style="199"/>
    <col min="4097" max="4097" width="7" style="199" bestFit="1" customWidth="1"/>
    <col min="4098" max="4098" width="44" style="199" bestFit="1" customWidth="1"/>
    <col min="4099" max="4099" width="9.42578125" style="199" bestFit="1" customWidth="1"/>
    <col min="4100" max="4100" width="13.7109375" style="199" bestFit="1" customWidth="1"/>
    <col min="4101" max="4101" width="16.85546875" style="199" bestFit="1" customWidth="1"/>
    <col min="4102" max="4102" width="9.140625" style="199"/>
    <col min="4103" max="4103" width="25.7109375" style="199" bestFit="1" customWidth="1"/>
    <col min="4104" max="4104" width="12.5703125" style="199" bestFit="1" customWidth="1"/>
    <col min="4105" max="4352" width="9.140625" style="199"/>
    <col min="4353" max="4353" width="7" style="199" bestFit="1" customWidth="1"/>
    <col min="4354" max="4354" width="44" style="199" bestFit="1" customWidth="1"/>
    <col min="4355" max="4355" width="9.42578125" style="199" bestFit="1" customWidth="1"/>
    <col min="4356" max="4356" width="13.7109375" style="199" bestFit="1" customWidth="1"/>
    <col min="4357" max="4357" width="16.85546875" style="199" bestFit="1" customWidth="1"/>
    <col min="4358" max="4358" width="9.140625" style="199"/>
    <col min="4359" max="4359" width="25.7109375" style="199" bestFit="1" customWidth="1"/>
    <col min="4360" max="4360" width="12.5703125" style="199" bestFit="1" customWidth="1"/>
    <col min="4361" max="4608" width="9.140625" style="199"/>
    <col min="4609" max="4609" width="7" style="199" bestFit="1" customWidth="1"/>
    <col min="4610" max="4610" width="44" style="199" bestFit="1" customWidth="1"/>
    <col min="4611" max="4611" width="9.42578125" style="199" bestFit="1" customWidth="1"/>
    <col min="4612" max="4612" width="13.7109375" style="199" bestFit="1" customWidth="1"/>
    <col min="4613" max="4613" width="16.85546875" style="199" bestFit="1" customWidth="1"/>
    <col min="4614" max="4614" width="9.140625" style="199"/>
    <col min="4615" max="4615" width="25.7109375" style="199" bestFit="1" customWidth="1"/>
    <col min="4616" max="4616" width="12.5703125" style="199" bestFit="1" customWidth="1"/>
    <col min="4617" max="4864" width="9.140625" style="199"/>
    <col min="4865" max="4865" width="7" style="199" bestFit="1" customWidth="1"/>
    <col min="4866" max="4866" width="44" style="199" bestFit="1" customWidth="1"/>
    <col min="4867" max="4867" width="9.42578125" style="199" bestFit="1" customWidth="1"/>
    <col min="4868" max="4868" width="13.7109375" style="199" bestFit="1" customWidth="1"/>
    <col min="4869" max="4869" width="16.85546875" style="199" bestFit="1" customWidth="1"/>
    <col min="4870" max="4870" width="9.140625" style="199"/>
    <col min="4871" max="4871" width="25.7109375" style="199" bestFit="1" customWidth="1"/>
    <col min="4872" max="4872" width="12.5703125" style="199" bestFit="1" customWidth="1"/>
    <col min="4873" max="5120" width="9.140625" style="199"/>
    <col min="5121" max="5121" width="7" style="199" bestFit="1" customWidth="1"/>
    <col min="5122" max="5122" width="44" style="199" bestFit="1" customWidth="1"/>
    <col min="5123" max="5123" width="9.42578125" style="199" bestFit="1" customWidth="1"/>
    <col min="5124" max="5124" width="13.7109375" style="199" bestFit="1" customWidth="1"/>
    <col min="5125" max="5125" width="16.85546875" style="199" bestFit="1" customWidth="1"/>
    <col min="5126" max="5126" width="9.140625" style="199"/>
    <col min="5127" max="5127" width="25.7109375" style="199" bestFit="1" customWidth="1"/>
    <col min="5128" max="5128" width="12.5703125" style="199" bestFit="1" customWidth="1"/>
    <col min="5129" max="5376" width="9.140625" style="199"/>
    <col min="5377" max="5377" width="7" style="199" bestFit="1" customWidth="1"/>
    <col min="5378" max="5378" width="44" style="199" bestFit="1" customWidth="1"/>
    <col min="5379" max="5379" width="9.42578125" style="199" bestFit="1" customWidth="1"/>
    <col min="5380" max="5380" width="13.7109375" style="199" bestFit="1" customWidth="1"/>
    <col min="5381" max="5381" width="16.85546875" style="199" bestFit="1" customWidth="1"/>
    <col min="5382" max="5382" width="9.140625" style="199"/>
    <col min="5383" max="5383" width="25.7109375" style="199" bestFit="1" customWidth="1"/>
    <col min="5384" max="5384" width="12.5703125" style="199" bestFit="1" customWidth="1"/>
    <col min="5385" max="5632" width="9.140625" style="199"/>
    <col min="5633" max="5633" width="7" style="199" bestFit="1" customWidth="1"/>
    <col min="5634" max="5634" width="44" style="199" bestFit="1" customWidth="1"/>
    <col min="5635" max="5635" width="9.42578125" style="199" bestFit="1" customWidth="1"/>
    <col min="5636" max="5636" width="13.7109375" style="199" bestFit="1" customWidth="1"/>
    <col min="5637" max="5637" width="16.85546875" style="199" bestFit="1" customWidth="1"/>
    <col min="5638" max="5638" width="9.140625" style="199"/>
    <col min="5639" max="5639" width="25.7109375" style="199" bestFit="1" customWidth="1"/>
    <col min="5640" max="5640" width="12.5703125" style="199" bestFit="1" customWidth="1"/>
    <col min="5641" max="5888" width="9.140625" style="199"/>
    <col min="5889" max="5889" width="7" style="199" bestFit="1" customWidth="1"/>
    <col min="5890" max="5890" width="44" style="199" bestFit="1" customWidth="1"/>
    <col min="5891" max="5891" width="9.42578125" style="199" bestFit="1" customWidth="1"/>
    <col min="5892" max="5892" width="13.7109375" style="199" bestFit="1" customWidth="1"/>
    <col min="5893" max="5893" width="16.85546875" style="199" bestFit="1" customWidth="1"/>
    <col min="5894" max="5894" width="9.140625" style="199"/>
    <col min="5895" max="5895" width="25.7109375" style="199" bestFit="1" customWidth="1"/>
    <col min="5896" max="5896" width="12.5703125" style="199" bestFit="1" customWidth="1"/>
    <col min="5897" max="6144" width="9.140625" style="199"/>
    <col min="6145" max="6145" width="7" style="199" bestFit="1" customWidth="1"/>
    <col min="6146" max="6146" width="44" style="199" bestFit="1" customWidth="1"/>
    <col min="6147" max="6147" width="9.42578125" style="199" bestFit="1" customWidth="1"/>
    <col min="6148" max="6148" width="13.7109375" style="199" bestFit="1" customWidth="1"/>
    <col min="6149" max="6149" width="16.85546875" style="199" bestFit="1" customWidth="1"/>
    <col min="6150" max="6150" width="9.140625" style="199"/>
    <col min="6151" max="6151" width="25.7109375" style="199" bestFit="1" customWidth="1"/>
    <col min="6152" max="6152" width="12.5703125" style="199" bestFit="1" customWidth="1"/>
    <col min="6153" max="6400" width="9.140625" style="199"/>
    <col min="6401" max="6401" width="7" style="199" bestFit="1" customWidth="1"/>
    <col min="6402" max="6402" width="44" style="199" bestFit="1" customWidth="1"/>
    <col min="6403" max="6403" width="9.42578125" style="199" bestFit="1" customWidth="1"/>
    <col min="6404" max="6404" width="13.7109375" style="199" bestFit="1" customWidth="1"/>
    <col min="6405" max="6405" width="16.85546875" style="199" bestFit="1" customWidth="1"/>
    <col min="6406" max="6406" width="9.140625" style="199"/>
    <col min="6407" max="6407" width="25.7109375" style="199" bestFit="1" customWidth="1"/>
    <col min="6408" max="6408" width="12.5703125" style="199" bestFit="1" customWidth="1"/>
    <col min="6409" max="6656" width="9.140625" style="199"/>
    <col min="6657" max="6657" width="7" style="199" bestFit="1" customWidth="1"/>
    <col min="6658" max="6658" width="44" style="199" bestFit="1" customWidth="1"/>
    <col min="6659" max="6659" width="9.42578125" style="199" bestFit="1" customWidth="1"/>
    <col min="6660" max="6660" width="13.7109375" style="199" bestFit="1" customWidth="1"/>
    <col min="6661" max="6661" width="16.85546875" style="199" bestFit="1" customWidth="1"/>
    <col min="6662" max="6662" width="9.140625" style="199"/>
    <col min="6663" max="6663" width="25.7109375" style="199" bestFit="1" customWidth="1"/>
    <col min="6664" max="6664" width="12.5703125" style="199" bestFit="1" customWidth="1"/>
    <col min="6665" max="6912" width="9.140625" style="199"/>
    <col min="6913" max="6913" width="7" style="199" bestFit="1" customWidth="1"/>
    <col min="6914" max="6914" width="44" style="199" bestFit="1" customWidth="1"/>
    <col min="6915" max="6915" width="9.42578125" style="199" bestFit="1" customWidth="1"/>
    <col min="6916" max="6916" width="13.7109375" style="199" bestFit="1" customWidth="1"/>
    <col min="6917" max="6917" width="16.85546875" style="199" bestFit="1" customWidth="1"/>
    <col min="6918" max="6918" width="9.140625" style="199"/>
    <col min="6919" max="6919" width="25.7109375" style="199" bestFit="1" customWidth="1"/>
    <col min="6920" max="6920" width="12.5703125" style="199" bestFit="1" customWidth="1"/>
    <col min="6921" max="7168" width="9.140625" style="199"/>
    <col min="7169" max="7169" width="7" style="199" bestFit="1" customWidth="1"/>
    <col min="7170" max="7170" width="44" style="199" bestFit="1" customWidth="1"/>
    <col min="7171" max="7171" width="9.42578125" style="199" bestFit="1" customWidth="1"/>
    <col min="7172" max="7172" width="13.7109375" style="199" bestFit="1" customWidth="1"/>
    <col min="7173" max="7173" width="16.85546875" style="199" bestFit="1" customWidth="1"/>
    <col min="7174" max="7174" width="9.140625" style="199"/>
    <col min="7175" max="7175" width="25.7109375" style="199" bestFit="1" customWidth="1"/>
    <col min="7176" max="7176" width="12.5703125" style="199" bestFit="1" customWidth="1"/>
    <col min="7177" max="7424" width="9.140625" style="199"/>
    <col min="7425" max="7425" width="7" style="199" bestFit="1" customWidth="1"/>
    <col min="7426" max="7426" width="44" style="199" bestFit="1" customWidth="1"/>
    <col min="7427" max="7427" width="9.42578125" style="199" bestFit="1" customWidth="1"/>
    <col min="7428" max="7428" width="13.7109375" style="199" bestFit="1" customWidth="1"/>
    <col min="7429" max="7429" width="16.85546875" style="199" bestFit="1" customWidth="1"/>
    <col min="7430" max="7430" width="9.140625" style="199"/>
    <col min="7431" max="7431" width="25.7109375" style="199" bestFit="1" customWidth="1"/>
    <col min="7432" max="7432" width="12.5703125" style="199" bestFit="1" customWidth="1"/>
    <col min="7433" max="7680" width="9.140625" style="199"/>
    <col min="7681" max="7681" width="7" style="199" bestFit="1" customWidth="1"/>
    <col min="7682" max="7682" width="44" style="199" bestFit="1" customWidth="1"/>
    <col min="7683" max="7683" width="9.42578125" style="199" bestFit="1" customWidth="1"/>
    <col min="7684" max="7684" width="13.7109375" style="199" bestFit="1" customWidth="1"/>
    <col min="7685" max="7685" width="16.85546875" style="199" bestFit="1" customWidth="1"/>
    <col min="7686" max="7686" width="9.140625" style="199"/>
    <col min="7687" max="7687" width="25.7109375" style="199" bestFit="1" customWidth="1"/>
    <col min="7688" max="7688" width="12.5703125" style="199" bestFit="1" customWidth="1"/>
    <col min="7689" max="7936" width="9.140625" style="199"/>
    <col min="7937" max="7937" width="7" style="199" bestFit="1" customWidth="1"/>
    <col min="7938" max="7938" width="44" style="199" bestFit="1" customWidth="1"/>
    <col min="7939" max="7939" width="9.42578125" style="199" bestFit="1" customWidth="1"/>
    <col min="7940" max="7940" width="13.7109375" style="199" bestFit="1" customWidth="1"/>
    <col min="7941" max="7941" width="16.85546875" style="199" bestFit="1" customWidth="1"/>
    <col min="7942" max="7942" width="9.140625" style="199"/>
    <col min="7943" max="7943" width="25.7109375" style="199" bestFit="1" customWidth="1"/>
    <col min="7944" max="7944" width="12.5703125" style="199" bestFit="1" customWidth="1"/>
    <col min="7945" max="8192" width="9.140625" style="199"/>
    <col min="8193" max="8193" width="7" style="199" bestFit="1" customWidth="1"/>
    <col min="8194" max="8194" width="44" style="199" bestFit="1" customWidth="1"/>
    <col min="8195" max="8195" width="9.42578125" style="199" bestFit="1" customWidth="1"/>
    <col min="8196" max="8196" width="13.7109375" style="199" bestFit="1" customWidth="1"/>
    <col min="8197" max="8197" width="16.85546875" style="199" bestFit="1" customWidth="1"/>
    <col min="8198" max="8198" width="9.140625" style="199"/>
    <col min="8199" max="8199" width="25.7109375" style="199" bestFit="1" customWidth="1"/>
    <col min="8200" max="8200" width="12.5703125" style="199" bestFit="1" customWidth="1"/>
    <col min="8201" max="8448" width="9.140625" style="199"/>
    <col min="8449" max="8449" width="7" style="199" bestFit="1" customWidth="1"/>
    <col min="8450" max="8450" width="44" style="199" bestFit="1" customWidth="1"/>
    <col min="8451" max="8451" width="9.42578125" style="199" bestFit="1" customWidth="1"/>
    <col min="8452" max="8452" width="13.7109375" style="199" bestFit="1" customWidth="1"/>
    <col min="8453" max="8453" width="16.85546875" style="199" bestFit="1" customWidth="1"/>
    <col min="8454" max="8454" width="9.140625" style="199"/>
    <col min="8455" max="8455" width="25.7109375" style="199" bestFit="1" customWidth="1"/>
    <col min="8456" max="8456" width="12.5703125" style="199" bestFit="1" customWidth="1"/>
    <col min="8457" max="8704" width="9.140625" style="199"/>
    <col min="8705" max="8705" width="7" style="199" bestFit="1" customWidth="1"/>
    <col min="8706" max="8706" width="44" style="199" bestFit="1" customWidth="1"/>
    <col min="8707" max="8707" width="9.42578125" style="199" bestFit="1" customWidth="1"/>
    <col min="8708" max="8708" width="13.7109375" style="199" bestFit="1" customWidth="1"/>
    <col min="8709" max="8709" width="16.85546875" style="199" bestFit="1" customWidth="1"/>
    <col min="8710" max="8710" width="9.140625" style="199"/>
    <col min="8711" max="8711" width="25.7109375" style="199" bestFit="1" customWidth="1"/>
    <col min="8712" max="8712" width="12.5703125" style="199" bestFit="1" customWidth="1"/>
    <col min="8713" max="8960" width="9.140625" style="199"/>
    <col min="8961" max="8961" width="7" style="199" bestFit="1" customWidth="1"/>
    <col min="8962" max="8962" width="44" style="199" bestFit="1" customWidth="1"/>
    <col min="8963" max="8963" width="9.42578125" style="199" bestFit="1" customWidth="1"/>
    <col min="8964" max="8964" width="13.7109375" style="199" bestFit="1" customWidth="1"/>
    <col min="8965" max="8965" width="16.85546875" style="199" bestFit="1" customWidth="1"/>
    <col min="8966" max="8966" width="9.140625" style="199"/>
    <col min="8967" max="8967" width="25.7109375" style="199" bestFit="1" customWidth="1"/>
    <col min="8968" max="8968" width="12.5703125" style="199" bestFit="1" customWidth="1"/>
    <col min="8969" max="9216" width="9.140625" style="199"/>
    <col min="9217" max="9217" width="7" style="199" bestFit="1" customWidth="1"/>
    <col min="9218" max="9218" width="44" style="199" bestFit="1" customWidth="1"/>
    <col min="9219" max="9219" width="9.42578125" style="199" bestFit="1" customWidth="1"/>
    <col min="9220" max="9220" width="13.7109375" style="199" bestFit="1" customWidth="1"/>
    <col min="9221" max="9221" width="16.85546875" style="199" bestFit="1" customWidth="1"/>
    <col min="9222" max="9222" width="9.140625" style="199"/>
    <col min="9223" max="9223" width="25.7109375" style="199" bestFit="1" customWidth="1"/>
    <col min="9224" max="9224" width="12.5703125" style="199" bestFit="1" customWidth="1"/>
    <col min="9225" max="9472" width="9.140625" style="199"/>
    <col min="9473" max="9473" width="7" style="199" bestFit="1" customWidth="1"/>
    <col min="9474" max="9474" width="44" style="199" bestFit="1" customWidth="1"/>
    <col min="9475" max="9475" width="9.42578125" style="199" bestFit="1" customWidth="1"/>
    <col min="9476" max="9476" width="13.7109375" style="199" bestFit="1" customWidth="1"/>
    <col min="9477" max="9477" width="16.85546875" style="199" bestFit="1" customWidth="1"/>
    <col min="9478" max="9478" width="9.140625" style="199"/>
    <col min="9479" max="9479" width="25.7109375" style="199" bestFit="1" customWidth="1"/>
    <col min="9480" max="9480" width="12.5703125" style="199" bestFit="1" customWidth="1"/>
    <col min="9481" max="9728" width="9.140625" style="199"/>
    <col min="9729" max="9729" width="7" style="199" bestFit="1" customWidth="1"/>
    <col min="9730" max="9730" width="44" style="199" bestFit="1" customWidth="1"/>
    <col min="9731" max="9731" width="9.42578125" style="199" bestFit="1" customWidth="1"/>
    <col min="9732" max="9732" width="13.7109375" style="199" bestFit="1" customWidth="1"/>
    <col min="9733" max="9733" width="16.85546875" style="199" bestFit="1" customWidth="1"/>
    <col min="9734" max="9734" width="9.140625" style="199"/>
    <col min="9735" max="9735" width="25.7109375" style="199" bestFit="1" customWidth="1"/>
    <col min="9736" max="9736" width="12.5703125" style="199" bestFit="1" customWidth="1"/>
    <col min="9737" max="9984" width="9.140625" style="199"/>
    <col min="9985" max="9985" width="7" style="199" bestFit="1" customWidth="1"/>
    <col min="9986" max="9986" width="44" style="199" bestFit="1" customWidth="1"/>
    <col min="9987" max="9987" width="9.42578125" style="199" bestFit="1" customWidth="1"/>
    <col min="9988" max="9988" width="13.7109375" style="199" bestFit="1" customWidth="1"/>
    <col min="9989" max="9989" width="16.85546875" style="199" bestFit="1" customWidth="1"/>
    <col min="9990" max="9990" width="9.140625" style="199"/>
    <col min="9991" max="9991" width="25.7109375" style="199" bestFit="1" customWidth="1"/>
    <col min="9992" max="9992" width="12.5703125" style="199" bestFit="1" customWidth="1"/>
    <col min="9993" max="10240" width="9.140625" style="199"/>
    <col min="10241" max="10241" width="7" style="199" bestFit="1" customWidth="1"/>
    <col min="10242" max="10242" width="44" style="199" bestFit="1" customWidth="1"/>
    <col min="10243" max="10243" width="9.42578125" style="199" bestFit="1" customWidth="1"/>
    <col min="10244" max="10244" width="13.7109375" style="199" bestFit="1" customWidth="1"/>
    <col min="10245" max="10245" width="16.85546875" style="199" bestFit="1" customWidth="1"/>
    <col min="10246" max="10246" width="9.140625" style="199"/>
    <col min="10247" max="10247" width="25.7109375" style="199" bestFit="1" customWidth="1"/>
    <col min="10248" max="10248" width="12.5703125" style="199" bestFit="1" customWidth="1"/>
    <col min="10249" max="10496" width="9.140625" style="199"/>
    <col min="10497" max="10497" width="7" style="199" bestFit="1" customWidth="1"/>
    <col min="10498" max="10498" width="44" style="199" bestFit="1" customWidth="1"/>
    <col min="10499" max="10499" width="9.42578125" style="199" bestFit="1" customWidth="1"/>
    <col min="10500" max="10500" width="13.7109375" style="199" bestFit="1" customWidth="1"/>
    <col min="10501" max="10501" width="16.85546875" style="199" bestFit="1" customWidth="1"/>
    <col min="10502" max="10502" width="9.140625" style="199"/>
    <col min="10503" max="10503" width="25.7109375" style="199" bestFit="1" customWidth="1"/>
    <col min="10504" max="10504" width="12.5703125" style="199" bestFit="1" customWidth="1"/>
    <col min="10505" max="10752" width="9.140625" style="199"/>
    <col min="10753" max="10753" width="7" style="199" bestFit="1" customWidth="1"/>
    <col min="10754" max="10754" width="44" style="199" bestFit="1" customWidth="1"/>
    <col min="10755" max="10755" width="9.42578125" style="199" bestFit="1" customWidth="1"/>
    <col min="10756" max="10756" width="13.7109375" style="199" bestFit="1" customWidth="1"/>
    <col min="10757" max="10757" width="16.85546875" style="199" bestFit="1" customWidth="1"/>
    <col min="10758" max="10758" width="9.140625" style="199"/>
    <col min="10759" max="10759" width="25.7109375" style="199" bestFit="1" customWidth="1"/>
    <col min="10760" max="10760" width="12.5703125" style="199" bestFit="1" customWidth="1"/>
    <col min="10761" max="11008" width="9.140625" style="199"/>
    <col min="11009" max="11009" width="7" style="199" bestFit="1" customWidth="1"/>
    <col min="11010" max="11010" width="44" style="199" bestFit="1" customWidth="1"/>
    <col min="11011" max="11011" width="9.42578125" style="199" bestFit="1" customWidth="1"/>
    <col min="11012" max="11012" width="13.7109375" style="199" bestFit="1" customWidth="1"/>
    <col min="11013" max="11013" width="16.85546875" style="199" bestFit="1" customWidth="1"/>
    <col min="11014" max="11014" width="9.140625" style="199"/>
    <col min="11015" max="11015" width="25.7109375" style="199" bestFit="1" customWidth="1"/>
    <col min="11016" max="11016" width="12.5703125" style="199" bestFit="1" customWidth="1"/>
    <col min="11017" max="11264" width="9.140625" style="199"/>
    <col min="11265" max="11265" width="7" style="199" bestFit="1" customWidth="1"/>
    <col min="11266" max="11266" width="44" style="199" bestFit="1" customWidth="1"/>
    <col min="11267" max="11267" width="9.42578125" style="199" bestFit="1" customWidth="1"/>
    <col min="11268" max="11268" width="13.7109375" style="199" bestFit="1" customWidth="1"/>
    <col min="11269" max="11269" width="16.85546875" style="199" bestFit="1" customWidth="1"/>
    <col min="11270" max="11270" width="9.140625" style="199"/>
    <col min="11271" max="11271" width="25.7109375" style="199" bestFit="1" customWidth="1"/>
    <col min="11272" max="11272" width="12.5703125" style="199" bestFit="1" customWidth="1"/>
    <col min="11273" max="11520" width="9.140625" style="199"/>
    <col min="11521" max="11521" width="7" style="199" bestFit="1" customWidth="1"/>
    <col min="11522" max="11522" width="44" style="199" bestFit="1" customWidth="1"/>
    <col min="11523" max="11523" width="9.42578125" style="199" bestFit="1" customWidth="1"/>
    <col min="11524" max="11524" width="13.7109375" style="199" bestFit="1" customWidth="1"/>
    <col min="11525" max="11525" width="16.85546875" style="199" bestFit="1" customWidth="1"/>
    <col min="11526" max="11526" width="9.140625" style="199"/>
    <col min="11527" max="11527" width="25.7109375" style="199" bestFit="1" customWidth="1"/>
    <col min="11528" max="11528" width="12.5703125" style="199" bestFit="1" customWidth="1"/>
    <col min="11529" max="11776" width="9.140625" style="199"/>
    <col min="11777" max="11777" width="7" style="199" bestFit="1" customWidth="1"/>
    <col min="11778" max="11778" width="44" style="199" bestFit="1" customWidth="1"/>
    <col min="11779" max="11779" width="9.42578125" style="199" bestFit="1" customWidth="1"/>
    <col min="11780" max="11780" width="13.7109375" style="199" bestFit="1" customWidth="1"/>
    <col min="11781" max="11781" width="16.85546875" style="199" bestFit="1" customWidth="1"/>
    <col min="11782" max="11782" width="9.140625" style="199"/>
    <col min="11783" max="11783" width="25.7109375" style="199" bestFit="1" customWidth="1"/>
    <col min="11784" max="11784" width="12.5703125" style="199" bestFit="1" customWidth="1"/>
    <col min="11785" max="12032" width="9.140625" style="199"/>
    <col min="12033" max="12033" width="7" style="199" bestFit="1" customWidth="1"/>
    <col min="12034" max="12034" width="44" style="199" bestFit="1" customWidth="1"/>
    <col min="12035" max="12035" width="9.42578125" style="199" bestFit="1" customWidth="1"/>
    <col min="12036" max="12036" width="13.7109375" style="199" bestFit="1" customWidth="1"/>
    <col min="12037" max="12037" width="16.85546875" style="199" bestFit="1" customWidth="1"/>
    <col min="12038" max="12038" width="9.140625" style="199"/>
    <col min="12039" max="12039" width="25.7109375" style="199" bestFit="1" customWidth="1"/>
    <col min="12040" max="12040" width="12.5703125" style="199" bestFit="1" customWidth="1"/>
    <col min="12041" max="12288" width="9.140625" style="199"/>
    <col min="12289" max="12289" width="7" style="199" bestFit="1" customWidth="1"/>
    <col min="12290" max="12290" width="44" style="199" bestFit="1" customWidth="1"/>
    <col min="12291" max="12291" width="9.42578125" style="199" bestFit="1" customWidth="1"/>
    <col min="12292" max="12292" width="13.7109375" style="199" bestFit="1" customWidth="1"/>
    <col min="12293" max="12293" width="16.85546875" style="199" bestFit="1" customWidth="1"/>
    <col min="12294" max="12294" width="9.140625" style="199"/>
    <col min="12295" max="12295" width="25.7109375" style="199" bestFit="1" customWidth="1"/>
    <col min="12296" max="12296" width="12.5703125" style="199" bestFit="1" customWidth="1"/>
    <col min="12297" max="12544" width="9.140625" style="199"/>
    <col min="12545" max="12545" width="7" style="199" bestFit="1" customWidth="1"/>
    <col min="12546" max="12546" width="44" style="199" bestFit="1" customWidth="1"/>
    <col min="12547" max="12547" width="9.42578125" style="199" bestFit="1" customWidth="1"/>
    <col min="12548" max="12548" width="13.7109375" style="199" bestFit="1" customWidth="1"/>
    <col min="12549" max="12549" width="16.85546875" style="199" bestFit="1" customWidth="1"/>
    <col min="12550" max="12550" width="9.140625" style="199"/>
    <col min="12551" max="12551" width="25.7109375" style="199" bestFit="1" customWidth="1"/>
    <col min="12552" max="12552" width="12.5703125" style="199" bestFit="1" customWidth="1"/>
    <col min="12553" max="12800" width="9.140625" style="199"/>
    <col min="12801" max="12801" width="7" style="199" bestFit="1" customWidth="1"/>
    <col min="12802" max="12802" width="44" style="199" bestFit="1" customWidth="1"/>
    <col min="12803" max="12803" width="9.42578125" style="199" bestFit="1" customWidth="1"/>
    <col min="12804" max="12804" width="13.7109375" style="199" bestFit="1" customWidth="1"/>
    <col min="12805" max="12805" width="16.85546875" style="199" bestFit="1" customWidth="1"/>
    <col min="12806" max="12806" width="9.140625" style="199"/>
    <col min="12807" max="12807" width="25.7109375" style="199" bestFit="1" customWidth="1"/>
    <col min="12808" max="12808" width="12.5703125" style="199" bestFit="1" customWidth="1"/>
    <col min="12809" max="13056" width="9.140625" style="199"/>
    <col min="13057" max="13057" width="7" style="199" bestFit="1" customWidth="1"/>
    <col min="13058" max="13058" width="44" style="199" bestFit="1" customWidth="1"/>
    <col min="13059" max="13059" width="9.42578125" style="199" bestFit="1" customWidth="1"/>
    <col min="13060" max="13060" width="13.7109375" style="199" bestFit="1" customWidth="1"/>
    <col min="13061" max="13061" width="16.85546875" style="199" bestFit="1" customWidth="1"/>
    <col min="13062" max="13062" width="9.140625" style="199"/>
    <col min="13063" max="13063" width="25.7109375" style="199" bestFit="1" customWidth="1"/>
    <col min="13064" max="13064" width="12.5703125" style="199" bestFit="1" customWidth="1"/>
    <col min="13065" max="13312" width="9.140625" style="199"/>
    <col min="13313" max="13313" width="7" style="199" bestFit="1" customWidth="1"/>
    <col min="13314" max="13314" width="44" style="199" bestFit="1" customWidth="1"/>
    <col min="13315" max="13315" width="9.42578125" style="199" bestFit="1" customWidth="1"/>
    <col min="13316" max="13316" width="13.7109375" style="199" bestFit="1" customWidth="1"/>
    <col min="13317" max="13317" width="16.85546875" style="199" bestFit="1" customWidth="1"/>
    <col min="13318" max="13318" width="9.140625" style="199"/>
    <col min="13319" max="13319" width="25.7109375" style="199" bestFit="1" customWidth="1"/>
    <col min="13320" max="13320" width="12.5703125" style="199" bestFit="1" customWidth="1"/>
    <col min="13321" max="13568" width="9.140625" style="199"/>
    <col min="13569" max="13569" width="7" style="199" bestFit="1" customWidth="1"/>
    <col min="13570" max="13570" width="44" style="199" bestFit="1" customWidth="1"/>
    <col min="13571" max="13571" width="9.42578125" style="199" bestFit="1" customWidth="1"/>
    <col min="13572" max="13572" width="13.7109375" style="199" bestFit="1" customWidth="1"/>
    <col min="13573" max="13573" width="16.85546875" style="199" bestFit="1" customWidth="1"/>
    <col min="13574" max="13574" width="9.140625" style="199"/>
    <col min="13575" max="13575" width="25.7109375" style="199" bestFit="1" customWidth="1"/>
    <col min="13576" max="13576" width="12.5703125" style="199" bestFit="1" customWidth="1"/>
    <col min="13577" max="13824" width="9.140625" style="199"/>
    <col min="13825" max="13825" width="7" style="199" bestFit="1" customWidth="1"/>
    <col min="13826" max="13826" width="44" style="199" bestFit="1" customWidth="1"/>
    <col min="13827" max="13827" width="9.42578125" style="199" bestFit="1" customWidth="1"/>
    <col min="13828" max="13828" width="13.7109375" style="199" bestFit="1" customWidth="1"/>
    <col min="13829" max="13829" width="16.85546875" style="199" bestFit="1" customWidth="1"/>
    <col min="13830" max="13830" width="9.140625" style="199"/>
    <col min="13831" max="13831" width="25.7109375" style="199" bestFit="1" customWidth="1"/>
    <col min="13832" max="13832" width="12.5703125" style="199" bestFit="1" customWidth="1"/>
    <col min="13833" max="14080" width="9.140625" style="199"/>
    <col min="14081" max="14081" width="7" style="199" bestFit="1" customWidth="1"/>
    <col min="14082" max="14082" width="44" style="199" bestFit="1" customWidth="1"/>
    <col min="14083" max="14083" width="9.42578125" style="199" bestFit="1" customWidth="1"/>
    <col min="14084" max="14084" width="13.7109375" style="199" bestFit="1" customWidth="1"/>
    <col min="14085" max="14085" width="16.85546875" style="199" bestFit="1" customWidth="1"/>
    <col min="14086" max="14086" width="9.140625" style="199"/>
    <col min="14087" max="14087" width="25.7109375" style="199" bestFit="1" customWidth="1"/>
    <col min="14088" max="14088" width="12.5703125" style="199" bestFit="1" customWidth="1"/>
    <col min="14089" max="14336" width="9.140625" style="199"/>
    <col min="14337" max="14337" width="7" style="199" bestFit="1" customWidth="1"/>
    <col min="14338" max="14338" width="44" style="199" bestFit="1" customWidth="1"/>
    <col min="14339" max="14339" width="9.42578125" style="199" bestFit="1" customWidth="1"/>
    <col min="14340" max="14340" width="13.7109375" style="199" bestFit="1" customWidth="1"/>
    <col min="14341" max="14341" width="16.85546875" style="199" bestFit="1" customWidth="1"/>
    <col min="14342" max="14342" width="9.140625" style="199"/>
    <col min="14343" max="14343" width="25.7109375" style="199" bestFit="1" customWidth="1"/>
    <col min="14344" max="14344" width="12.5703125" style="199" bestFit="1" customWidth="1"/>
    <col min="14345" max="14592" width="9.140625" style="199"/>
    <col min="14593" max="14593" width="7" style="199" bestFit="1" customWidth="1"/>
    <col min="14594" max="14594" width="44" style="199" bestFit="1" customWidth="1"/>
    <col min="14595" max="14595" width="9.42578125" style="199" bestFit="1" customWidth="1"/>
    <col min="14596" max="14596" width="13.7109375" style="199" bestFit="1" customWidth="1"/>
    <col min="14597" max="14597" width="16.85546875" style="199" bestFit="1" customWidth="1"/>
    <col min="14598" max="14598" width="9.140625" style="199"/>
    <col min="14599" max="14599" width="25.7109375" style="199" bestFit="1" customWidth="1"/>
    <col min="14600" max="14600" width="12.5703125" style="199" bestFit="1" customWidth="1"/>
    <col min="14601" max="14848" width="9.140625" style="199"/>
    <col min="14849" max="14849" width="7" style="199" bestFit="1" customWidth="1"/>
    <col min="14850" max="14850" width="44" style="199" bestFit="1" customWidth="1"/>
    <col min="14851" max="14851" width="9.42578125" style="199" bestFit="1" customWidth="1"/>
    <col min="14852" max="14852" width="13.7109375" style="199" bestFit="1" customWidth="1"/>
    <col min="14853" max="14853" width="16.85546875" style="199" bestFit="1" customWidth="1"/>
    <col min="14854" max="14854" width="9.140625" style="199"/>
    <col min="14855" max="14855" width="25.7109375" style="199" bestFit="1" customWidth="1"/>
    <col min="14856" max="14856" width="12.5703125" style="199" bestFit="1" customWidth="1"/>
    <col min="14857" max="15104" width="9.140625" style="199"/>
    <col min="15105" max="15105" width="7" style="199" bestFit="1" customWidth="1"/>
    <col min="15106" max="15106" width="44" style="199" bestFit="1" customWidth="1"/>
    <col min="15107" max="15107" width="9.42578125" style="199" bestFit="1" customWidth="1"/>
    <col min="15108" max="15108" width="13.7109375" style="199" bestFit="1" customWidth="1"/>
    <col min="15109" max="15109" width="16.85546875" style="199" bestFit="1" customWidth="1"/>
    <col min="15110" max="15110" width="9.140625" style="199"/>
    <col min="15111" max="15111" width="25.7109375" style="199" bestFit="1" customWidth="1"/>
    <col min="15112" max="15112" width="12.5703125" style="199" bestFit="1" customWidth="1"/>
    <col min="15113" max="15360" width="9.140625" style="199"/>
    <col min="15361" max="15361" width="7" style="199" bestFit="1" customWidth="1"/>
    <col min="15362" max="15362" width="44" style="199" bestFit="1" customWidth="1"/>
    <col min="15363" max="15363" width="9.42578125" style="199" bestFit="1" customWidth="1"/>
    <col min="15364" max="15364" width="13.7109375" style="199" bestFit="1" customWidth="1"/>
    <col min="15365" max="15365" width="16.85546875" style="199" bestFit="1" customWidth="1"/>
    <col min="15366" max="15366" width="9.140625" style="199"/>
    <col min="15367" max="15367" width="25.7109375" style="199" bestFit="1" customWidth="1"/>
    <col min="15368" max="15368" width="12.5703125" style="199" bestFit="1" customWidth="1"/>
    <col min="15369" max="15616" width="9.140625" style="199"/>
    <col min="15617" max="15617" width="7" style="199" bestFit="1" customWidth="1"/>
    <col min="15618" max="15618" width="44" style="199" bestFit="1" customWidth="1"/>
    <col min="15619" max="15619" width="9.42578125" style="199" bestFit="1" customWidth="1"/>
    <col min="15620" max="15620" width="13.7109375" style="199" bestFit="1" customWidth="1"/>
    <col min="15621" max="15621" width="16.85546875" style="199" bestFit="1" customWidth="1"/>
    <col min="15622" max="15622" width="9.140625" style="199"/>
    <col min="15623" max="15623" width="25.7109375" style="199" bestFit="1" customWidth="1"/>
    <col min="15624" max="15624" width="12.5703125" style="199" bestFit="1" customWidth="1"/>
    <col min="15625" max="15872" width="9.140625" style="199"/>
    <col min="15873" max="15873" width="7" style="199" bestFit="1" customWidth="1"/>
    <col min="15874" max="15874" width="44" style="199" bestFit="1" customWidth="1"/>
    <col min="15875" max="15875" width="9.42578125" style="199" bestFit="1" customWidth="1"/>
    <col min="15876" max="15876" width="13.7109375" style="199" bestFit="1" customWidth="1"/>
    <col min="15877" max="15877" width="16.85546875" style="199" bestFit="1" customWidth="1"/>
    <col min="15878" max="15878" width="9.140625" style="199"/>
    <col min="15879" max="15879" width="25.7109375" style="199" bestFit="1" customWidth="1"/>
    <col min="15880" max="15880" width="12.5703125" style="199" bestFit="1" customWidth="1"/>
    <col min="15881" max="16128" width="9.140625" style="199"/>
    <col min="16129" max="16129" width="7" style="199" bestFit="1" customWidth="1"/>
    <col min="16130" max="16130" width="44" style="199" bestFit="1" customWidth="1"/>
    <col min="16131" max="16131" width="9.42578125" style="199" bestFit="1" customWidth="1"/>
    <col min="16132" max="16132" width="13.7109375" style="199" bestFit="1" customWidth="1"/>
    <col min="16133" max="16133" width="16.85546875" style="199" bestFit="1" customWidth="1"/>
    <col min="16134" max="16134" width="9.140625" style="199"/>
    <col min="16135" max="16135" width="25.7109375" style="199" bestFit="1" customWidth="1"/>
    <col min="16136" max="16136" width="12.5703125" style="199" bestFit="1" customWidth="1"/>
    <col min="16137" max="16384" width="9.140625" style="199"/>
  </cols>
  <sheetData>
    <row r="1" spans="1:12" ht="15" customHeight="1" x14ac:dyDescent="0.25">
      <c r="A1" s="528" t="s">
        <v>451</v>
      </c>
      <c r="B1" s="529"/>
      <c r="C1" s="529"/>
      <c r="D1" s="529"/>
      <c r="E1" s="529"/>
      <c r="F1" s="529"/>
      <c r="G1" s="530"/>
    </row>
    <row r="2" spans="1:12" ht="60" customHeight="1" x14ac:dyDescent="0.25">
      <c r="A2" s="531" t="s">
        <v>446</v>
      </c>
      <c r="B2" s="532"/>
      <c r="C2" s="532"/>
      <c r="D2" s="532"/>
      <c r="E2" s="532"/>
      <c r="F2" s="532"/>
      <c r="G2" s="533"/>
    </row>
    <row r="3" spans="1:12" s="201" customFormat="1" ht="30.75" customHeight="1" x14ac:dyDescent="0.3">
      <c r="A3" s="534" t="s">
        <v>447</v>
      </c>
      <c r="B3" s="535"/>
      <c r="C3" s="535"/>
      <c r="D3" s="535"/>
      <c r="E3" s="535"/>
      <c r="F3" s="535"/>
      <c r="G3" s="536"/>
      <c r="H3" s="200"/>
      <c r="I3" s="200"/>
      <c r="J3" s="200"/>
      <c r="K3" s="200"/>
      <c r="L3" s="200"/>
    </row>
    <row r="4" spans="1:12" ht="32.25" customHeight="1" x14ac:dyDescent="0.25">
      <c r="A4" s="202" t="s">
        <v>127</v>
      </c>
      <c r="B4" s="202" t="s">
        <v>419</v>
      </c>
      <c r="C4" s="202" t="s">
        <v>322</v>
      </c>
      <c r="D4" s="202" t="s">
        <v>448</v>
      </c>
      <c r="E4" s="202" t="s">
        <v>449</v>
      </c>
      <c r="F4" s="202" t="s">
        <v>131</v>
      </c>
      <c r="G4" s="202" t="s">
        <v>132</v>
      </c>
      <c r="H4" s="217"/>
    </row>
    <row r="5" spans="1:12" ht="39.75" customHeight="1" x14ac:dyDescent="0.25">
      <c r="A5" s="203">
        <v>1</v>
      </c>
      <c r="B5" s="211" t="s">
        <v>153</v>
      </c>
      <c r="C5" s="203">
        <v>5</v>
      </c>
      <c r="D5" s="203">
        <v>10</v>
      </c>
      <c r="E5" s="204">
        <v>0.2</v>
      </c>
      <c r="F5" s="205">
        <v>0</v>
      </c>
      <c r="G5" s="206">
        <f t="shared" ref="G5:G10" si="0">(F5*C5)*(100%-E5)/(D5*12)</f>
        <v>0</v>
      </c>
      <c r="H5" s="207">
        <f>F5*C5/120</f>
        <v>0</v>
      </c>
      <c r="I5" s="207"/>
      <c r="J5" s="207"/>
    </row>
    <row r="6" spans="1:12" ht="39.75" customHeight="1" x14ac:dyDescent="0.25">
      <c r="A6" s="203">
        <v>2</v>
      </c>
      <c r="B6" s="211" t="s">
        <v>452</v>
      </c>
      <c r="C6" s="203">
        <f>C5*6*2</f>
        <v>60</v>
      </c>
      <c r="D6" s="209">
        <v>0.5</v>
      </c>
      <c r="E6" s="204">
        <v>0.2</v>
      </c>
      <c r="F6" s="205">
        <v>6.5</v>
      </c>
      <c r="G6" s="206">
        <f t="shared" si="0"/>
        <v>52</v>
      </c>
    </row>
    <row r="7" spans="1:12" ht="39.75" customHeight="1" x14ac:dyDescent="0.25">
      <c r="A7" s="203">
        <v>3</v>
      </c>
      <c r="B7" s="212" t="s">
        <v>453</v>
      </c>
      <c r="C7" s="203">
        <v>18</v>
      </c>
      <c r="D7" s="203">
        <v>5</v>
      </c>
      <c r="E7" s="204">
        <v>0.2</v>
      </c>
      <c r="F7" s="205">
        <v>50</v>
      </c>
      <c r="G7" s="206">
        <f t="shared" si="0"/>
        <v>12</v>
      </c>
    </row>
    <row r="8" spans="1:12" ht="39.75" customHeight="1" x14ac:dyDescent="0.25">
      <c r="A8" s="203">
        <v>4</v>
      </c>
      <c r="B8" s="212" t="s">
        <v>454</v>
      </c>
      <c r="C8" s="203">
        <v>5</v>
      </c>
      <c r="D8" s="203">
        <v>5</v>
      </c>
      <c r="E8" s="204">
        <v>0.2</v>
      </c>
      <c r="F8" s="205">
        <v>0</v>
      </c>
      <c r="G8" s="206">
        <f t="shared" si="0"/>
        <v>0</v>
      </c>
    </row>
    <row r="9" spans="1:12" ht="31.5" customHeight="1" x14ac:dyDescent="0.25">
      <c r="A9" s="203">
        <v>5</v>
      </c>
      <c r="B9" s="213" t="s">
        <v>455</v>
      </c>
      <c r="C9" s="203">
        <v>1</v>
      </c>
      <c r="D9" s="203">
        <v>10</v>
      </c>
      <c r="E9" s="204">
        <v>0.2</v>
      </c>
      <c r="F9" s="205">
        <v>350</v>
      </c>
      <c r="G9" s="206">
        <f t="shared" si="0"/>
        <v>2.3333333333333335</v>
      </c>
    </row>
    <row r="10" spans="1:12" ht="106.5" customHeight="1" x14ac:dyDescent="0.25">
      <c r="A10" s="203">
        <v>6</v>
      </c>
      <c r="B10" s="212" t="s">
        <v>456</v>
      </c>
      <c r="C10" s="203">
        <v>18</v>
      </c>
      <c r="D10" s="203">
        <v>1</v>
      </c>
      <c r="E10" s="204">
        <v>0.2</v>
      </c>
      <c r="F10" s="205">
        <v>50</v>
      </c>
      <c r="G10" s="206">
        <f t="shared" si="0"/>
        <v>60</v>
      </c>
    </row>
    <row r="11" spans="1:12" x14ac:dyDescent="0.25">
      <c r="A11" s="537" t="s">
        <v>434</v>
      </c>
      <c r="B11" s="538"/>
      <c r="C11" s="538"/>
      <c r="D11" s="538"/>
      <c r="E11" s="538"/>
      <c r="F11" s="539"/>
      <c r="G11" s="208">
        <f>SUM(G5:G10)</f>
        <v>126.33333333333333</v>
      </c>
    </row>
    <row r="12" spans="1:12" x14ac:dyDescent="0.25">
      <c r="A12" s="537" t="s">
        <v>450</v>
      </c>
      <c r="B12" s="538"/>
      <c r="C12" s="538"/>
      <c r="D12" s="538"/>
      <c r="E12" s="538"/>
      <c r="F12" s="539"/>
      <c r="G12" s="208">
        <f>G11/18</f>
        <v>7.0185185185185182</v>
      </c>
    </row>
  </sheetData>
  <mergeCells count="5">
    <mergeCell ref="A1:G1"/>
    <mergeCell ref="A2:G2"/>
    <mergeCell ref="A3:G3"/>
    <mergeCell ref="A11:F11"/>
    <mergeCell ref="A12:F12"/>
  </mergeCells>
  <pageMargins left="0.511811024" right="0.511811024" top="0.78740157499999996" bottom="0.78740157499999996" header="0.31496062000000002" footer="0.31496062000000002"/>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9A2F5-3886-4818-AF0E-C580CC29D304}">
  <sheetPr>
    <pageSetUpPr fitToPage="1"/>
  </sheetPr>
  <dimension ref="A1:G30"/>
  <sheetViews>
    <sheetView topLeftCell="A19" workbookViewId="0">
      <selection activeCell="A21" sqref="A21:E21"/>
    </sheetView>
  </sheetViews>
  <sheetFormatPr defaultRowHeight="15.75" x14ac:dyDescent="0.25"/>
  <cols>
    <col min="1" max="1" width="10.42578125" style="57" customWidth="1"/>
    <col min="2" max="2" width="50.7109375" style="58" customWidth="1"/>
    <col min="3" max="3" width="14.7109375" style="58" customWidth="1"/>
    <col min="4" max="5" width="15.5703125" style="58" customWidth="1"/>
    <col min="6" max="6" width="23.28515625" style="58" customWidth="1"/>
    <col min="7" max="7" width="23.7109375" style="57" customWidth="1"/>
    <col min="8" max="8" width="9.140625" style="39"/>
    <col min="9" max="9" width="17.42578125" style="39" customWidth="1"/>
    <col min="10" max="10" width="10.42578125" style="39" bestFit="1" customWidth="1"/>
    <col min="11" max="12" width="9.140625" style="39"/>
    <col min="13" max="13" width="10.42578125" style="39" bestFit="1" customWidth="1"/>
    <col min="14" max="15" width="9.140625" style="39"/>
    <col min="16" max="16" width="10.5703125" style="39" bestFit="1" customWidth="1"/>
    <col min="17" max="16384" width="9.140625" style="39"/>
  </cols>
  <sheetData>
    <row r="1" spans="1:7" x14ac:dyDescent="0.25">
      <c r="A1" s="524"/>
      <c r="B1" s="524"/>
      <c r="C1" s="524"/>
      <c r="D1" s="524"/>
      <c r="E1" s="524"/>
      <c r="F1" s="524"/>
      <c r="G1" s="524"/>
    </row>
    <row r="2" spans="1:7" x14ac:dyDescent="0.25">
      <c r="A2" s="525" t="s">
        <v>220</v>
      </c>
      <c r="B2" s="525"/>
      <c r="C2" s="525"/>
      <c r="D2" s="525"/>
      <c r="E2" s="525"/>
      <c r="F2" s="525"/>
      <c r="G2" s="525"/>
    </row>
    <row r="3" spans="1:7" x14ac:dyDescent="0.25">
      <c r="A3" s="41"/>
      <c r="B3" s="42"/>
      <c r="C3" s="42"/>
      <c r="D3" s="42"/>
      <c r="E3" s="42"/>
      <c r="F3" s="42"/>
      <c r="G3" s="41"/>
    </row>
    <row r="4" spans="1:7" s="55" customFormat="1" x14ac:dyDescent="0.25">
      <c r="A4" s="525"/>
      <c r="B4" s="525"/>
      <c r="C4" s="525"/>
      <c r="D4" s="525"/>
      <c r="E4" s="525"/>
      <c r="F4" s="525"/>
      <c r="G4" s="525"/>
    </row>
    <row r="5" spans="1:7" s="55" customFormat="1" x14ac:dyDescent="0.25">
      <c r="A5" s="44" t="s">
        <v>127</v>
      </c>
      <c r="B5" s="45" t="s">
        <v>151</v>
      </c>
      <c r="C5" s="45" t="s">
        <v>457</v>
      </c>
      <c r="D5" s="44" t="s">
        <v>152</v>
      </c>
      <c r="E5" s="46" t="s">
        <v>131</v>
      </c>
      <c r="F5" s="44" t="s">
        <v>129</v>
      </c>
    </row>
    <row r="6" spans="1:7" s="55" customFormat="1" ht="31.5" x14ac:dyDescent="0.25">
      <c r="A6" s="47">
        <v>1</v>
      </c>
      <c r="B6" s="56" t="s">
        <v>155</v>
      </c>
      <c r="C6" s="47">
        <v>24</v>
      </c>
      <c r="D6" s="47">
        <v>12</v>
      </c>
      <c r="E6" s="54">
        <v>35</v>
      </c>
      <c r="F6" s="214">
        <f>E6*D6/C6</f>
        <v>17.5</v>
      </c>
    </row>
    <row r="7" spans="1:7" s="55" customFormat="1" x14ac:dyDescent="0.25">
      <c r="A7" s="47">
        <v>2</v>
      </c>
      <c r="B7" s="56" t="s">
        <v>156</v>
      </c>
      <c r="C7" s="47">
        <v>12</v>
      </c>
      <c r="D7" s="47">
        <v>24</v>
      </c>
      <c r="E7" s="54">
        <v>8</v>
      </c>
      <c r="F7" s="214">
        <f t="shared" ref="F7:F20" si="0">E7*D7/C7</f>
        <v>16</v>
      </c>
    </row>
    <row r="8" spans="1:7" s="55" customFormat="1" x14ac:dyDescent="0.25">
      <c r="A8" s="47">
        <v>3</v>
      </c>
      <c r="B8" s="56" t="s">
        <v>157</v>
      </c>
      <c r="C8" s="47">
        <v>24</v>
      </c>
      <c r="D8" s="47">
        <v>12</v>
      </c>
      <c r="E8" s="54">
        <v>15</v>
      </c>
      <c r="F8" s="214">
        <f t="shared" si="0"/>
        <v>7.5</v>
      </c>
    </row>
    <row r="9" spans="1:7" s="55" customFormat="1" ht="47.25" x14ac:dyDescent="0.25">
      <c r="A9" s="47">
        <v>4</v>
      </c>
      <c r="B9" s="56" t="s">
        <v>158</v>
      </c>
      <c r="C9" s="47">
        <v>60</v>
      </c>
      <c r="D9" s="47">
        <v>12</v>
      </c>
      <c r="E9" s="54">
        <v>18</v>
      </c>
      <c r="F9" s="214">
        <f t="shared" si="0"/>
        <v>3.6</v>
      </c>
    </row>
    <row r="10" spans="1:7" s="55" customFormat="1" x14ac:dyDescent="0.25">
      <c r="A10" s="47">
        <v>5</v>
      </c>
      <c r="B10" s="56" t="s">
        <v>159</v>
      </c>
      <c r="C10" s="47">
        <v>60</v>
      </c>
      <c r="D10" s="47">
        <v>12</v>
      </c>
      <c r="E10" s="54">
        <v>15</v>
      </c>
      <c r="F10" s="214">
        <f t="shared" si="0"/>
        <v>3</v>
      </c>
    </row>
    <row r="11" spans="1:7" s="55" customFormat="1" x14ac:dyDescent="0.25">
      <c r="A11" s="47">
        <v>6</v>
      </c>
      <c r="B11" s="56" t="s">
        <v>160</v>
      </c>
      <c r="C11" s="47">
        <v>12</v>
      </c>
      <c r="D11" s="47">
        <v>21</v>
      </c>
      <c r="E11" s="54">
        <v>8</v>
      </c>
      <c r="F11" s="214">
        <f t="shared" si="0"/>
        <v>14</v>
      </c>
    </row>
    <row r="12" spans="1:7" s="55" customFormat="1" ht="122.25" customHeight="1" x14ac:dyDescent="0.25">
      <c r="A12" s="47">
        <v>7</v>
      </c>
      <c r="B12" s="56" t="s">
        <v>161</v>
      </c>
      <c r="C12" s="47">
        <v>60</v>
      </c>
      <c r="D12" s="47">
        <v>12</v>
      </c>
      <c r="E12" s="54">
        <v>250</v>
      </c>
      <c r="F12" s="214">
        <f t="shared" si="0"/>
        <v>50</v>
      </c>
    </row>
    <row r="13" spans="1:7" s="55" customFormat="1" x14ac:dyDescent="0.25">
      <c r="A13" s="47">
        <v>8</v>
      </c>
      <c r="B13" s="56" t="s">
        <v>162</v>
      </c>
      <c r="C13" s="47">
        <v>12</v>
      </c>
      <c r="D13" s="47">
        <v>12</v>
      </c>
      <c r="E13" s="54">
        <v>40</v>
      </c>
      <c r="F13" s="214">
        <f t="shared" si="0"/>
        <v>40</v>
      </c>
    </row>
    <row r="14" spans="1:7" s="55" customFormat="1" x14ac:dyDescent="0.25">
      <c r="A14" s="47">
        <v>9</v>
      </c>
      <c r="B14" s="56" t="s">
        <v>163</v>
      </c>
      <c r="C14" s="47">
        <v>12</v>
      </c>
      <c r="D14" s="47">
        <v>21</v>
      </c>
      <c r="E14" s="54">
        <v>40</v>
      </c>
      <c r="F14" s="214">
        <f t="shared" si="0"/>
        <v>70</v>
      </c>
    </row>
    <row r="15" spans="1:7" s="55" customFormat="1" x14ac:dyDescent="0.25">
      <c r="A15" s="47">
        <v>10</v>
      </c>
      <c r="B15" s="56" t="s">
        <v>164</v>
      </c>
      <c r="C15" s="47">
        <v>12</v>
      </c>
      <c r="D15" s="47">
        <v>21</v>
      </c>
      <c r="E15" s="54">
        <v>5</v>
      </c>
      <c r="F15" s="214">
        <f t="shared" si="0"/>
        <v>8.75</v>
      </c>
    </row>
    <row r="16" spans="1:7" s="55" customFormat="1" x14ac:dyDescent="0.25">
      <c r="A16" s="47">
        <v>11</v>
      </c>
      <c r="B16" s="56" t="s">
        <v>165</v>
      </c>
      <c r="C16" s="47">
        <v>120</v>
      </c>
      <c r="D16" s="47">
        <v>1</v>
      </c>
      <c r="E16" s="54">
        <v>350</v>
      </c>
      <c r="F16" s="214">
        <f t="shared" si="0"/>
        <v>2.9166666666666665</v>
      </c>
    </row>
    <row r="17" spans="1:6" s="55" customFormat="1" x14ac:dyDescent="0.25">
      <c r="A17" s="47">
        <v>12</v>
      </c>
      <c r="B17" s="56" t="s">
        <v>166</v>
      </c>
      <c r="C17" s="47">
        <v>60</v>
      </c>
      <c r="D17" s="47">
        <v>1</v>
      </c>
      <c r="E17" s="54">
        <v>500</v>
      </c>
      <c r="F17" s="214">
        <f t="shared" si="0"/>
        <v>8.3333333333333339</v>
      </c>
    </row>
    <row r="18" spans="1:6" s="55" customFormat="1" x14ac:dyDescent="0.25">
      <c r="A18" s="47">
        <v>13</v>
      </c>
      <c r="B18" s="56" t="s">
        <v>458</v>
      </c>
      <c r="C18" s="47">
        <v>12</v>
      </c>
      <c r="D18" s="47">
        <v>1</v>
      </c>
      <c r="E18" s="54">
        <v>25</v>
      </c>
      <c r="F18" s="214">
        <f t="shared" si="0"/>
        <v>2.0833333333333335</v>
      </c>
    </row>
    <row r="19" spans="1:6" s="55" customFormat="1" ht="31.5" x14ac:dyDescent="0.25">
      <c r="A19" s="47">
        <v>13</v>
      </c>
      <c r="B19" s="56" t="s">
        <v>459</v>
      </c>
      <c r="C19" s="47">
        <v>60</v>
      </c>
      <c r="D19" s="47">
        <v>1</v>
      </c>
      <c r="E19" s="54">
        <v>800</v>
      </c>
      <c r="F19" s="214">
        <f t="shared" si="0"/>
        <v>13.333333333333334</v>
      </c>
    </row>
    <row r="20" spans="1:6" s="55" customFormat="1" ht="78.75" x14ac:dyDescent="0.25">
      <c r="A20" s="47">
        <v>14</v>
      </c>
      <c r="B20" s="56" t="s">
        <v>167</v>
      </c>
      <c r="C20" s="47">
        <v>6</v>
      </c>
      <c r="D20" s="47">
        <v>12</v>
      </c>
      <c r="E20" s="54">
        <v>8</v>
      </c>
      <c r="F20" s="214">
        <f t="shared" si="0"/>
        <v>16</v>
      </c>
    </row>
    <row r="21" spans="1:6" s="55" customFormat="1" ht="15.75" customHeight="1" x14ac:dyDescent="0.25">
      <c r="A21" s="540" t="s">
        <v>154</v>
      </c>
      <c r="B21" s="541"/>
      <c r="C21" s="541"/>
      <c r="D21" s="541"/>
      <c r="E21" s="541"/>
      <c r="F21" s="215">
        <f>SUM(F6:F20)</f>
        <v>273.01666666666665</v>
      </c>
    </row>
    <row r="22" spans="1:6" s="55" customFormat="1" ht="15.75" customHeight="1" x14ac:dyDescent="0.25">
      <c r="A22" s="542" t="s">
        <v>218</v>
      </c>
      <c r="B22" s="543"/>
      <c r="C22" s="543"/>
      <c r="D22" s="543"/>
      <c r="E22" s="543"/>
      <c r="F22" s="216">
        <f>F21/21</f>
        <v>13.00079365079365</v>
      </c>
    </row>
    <row r="23" spans="1:6" s="55" customFormat="1" ht="15.75" customHeight="1" x14ac:dyDescent="0.25">
      <c r="A23" s="540" t="s">
        <v>168</v>
      </c>
      <c r="B23" s="541"/>
      <c r="C23" s="541"/>
      <c r="D23" s="541"/>
      <c r="E23" s="541"/>
      <c r="F23" s="541"/>
    </row>
    <row r="24" spans="1:6" x14ac:dyDescent="0.25">
      <c r="A24" s="58" t="s">
        <v>211</v>
      </c>
    </row>
    <row r="25" spans="1:6" x14ac:dyDescent="0.25">
      <c r="A25" s="58" t="s">
        <v>213</v>
      </c>
    </row>
    <row r="27" spans="1:6" x14ac:dyDescent="0.25">
      <c r="A27" s="58" t="s">
        <v>214</v>
      </c>
    </row>
    <row r="28" spans="1:6" x14ac:dyDescent="0.25">
      <c r="A28" s="58" t="s">
        <v>215</v>
      </c>
    </row>
    <row r="29" spans="1:6" x14ac:dyDescent="0.25">
      <c r="A29" s="58" t="s">
        <v>216</v>
      </c>
    </row>
    <row r="30" spans="1:6" x14ac:dyDescent="0.25">
      <c r="A30" s="58" t="s">
        <v>217</v>
      </c>
    </row>
  </sheetData>
  <mergeCells count="6">
    <mergeCell ref="A23:F23"/>
    <mergeCell ref="A1:G1"/>
    <mergeCell ref="A2:G2"/>
    <mergeCell ref="A4:G4"/>
    <mergeCell ref="A21:E21"/>
    <mergeCell ref="A22:E22"/>
  </mergeCells>
  <pageMargins left="0.511811024" right="0.511811024" top="0.78740157499999996" bottom="0.78740157499999996" header="0.31496062000000002" footer="0.31496062000000002"/>
  <pageSetup paperSize="9" scale="47" fitToHeight="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6FC67-A765-4B24-8B7D-A9ED518001D3}">
  <dimension ref="A1:AB167"/>
  <sheetViews>
    <sheetView showGridLines="0" zoomScaleNormal="100" zoomScaleSheetLayoutView="112" workbookViewId="0">
      <selection activeCell="A53" sqref="A53:K53"/>
    </sheetView>
  </sheetViews>
  <sheetFormatPr defaultColWidth="4.85546875" defaultRowHeight="12.75" x14ac:dyDescent="0.25"/>
  <cols>
    <col min="1" max="1" width="4.85546875" style="156"/>
    <col min="2" max="2" width="0.7109375" style="156" customWidth="1"/>
    <col min="3" max="3" width="4.85546875" style="156"/>
    <col min="4" max="4" width="13.140625" style="156" customWidth="1"/>
    <col min="5" max="5" width="7.28515625" style="156" customWidth="1"/>
    <col min="6" max="6" width="12.140625" style="156" customWidth="1"/>
    <col min="7" max="7" width="8.7109375" style="156" customWidth="1"/>
    <col min="8" max="11" width="4.85546875" style="156"/>
    <col min="12" max="12" width="6.7109375" style="156" customWidth="1"/>
    <col min="13" max="16" width="4.85546875" style="156"/>
    <col min="17" max="17" width="3" style="156" customWidth="1"/>
    <col min="18" max="18" width="29" style="156" customWidth="1"/>
    <col min="19" max="16384" width="4.85546875" style="156"/>
  </cols>
  <sheetData>
    <row r="1" spans="1:18" ht="23.25" customHeight="1" thickBot="1" x14ac:dyDescent="0.3">
      <c r="A1" s="479" t="s">
        <v>267</v>
      </c>
      <c r="B1" s="479"/>
      <c r="C1" s="479"/>
      <c r="D1" s="479"/>
      <c r="E1" s="479"/>
      <c r="F1" s="479"/>
      <c r="G1" s="479"/>
      <c r="H1" s="479"/>
      <c r="I1" s="479"/>
      <c r="J1" s="479"/>
      <c r="K1" s="479"/>
      <c r="L1" s="479"/>
      <c r="M1" s="479"/>
      <c r="N1" s="479"/>
      <c r="O1" s="479"/>
      <c r="P1" s="479"/>
      <c r="Q1" s="479"/>
    </row>
    <row r="2" spans="1:18" s="157" customFormat="1" ht="27.75" customHeight="1" thickBot="1" x14ac:dyDescent="0.25">
      <c r="A2" s="463" t="s">
        <v>268</v>
      </c>
      <c r="B2" s="464"/>
      <c r="C2" s="464"/>
      <c r="D2" s="464"/>
      <c r="E2" s="464"/>
      <c r="F2" s="464"/>
      <c r="G2" s="464"/>
      <c r="H2" s="464"/>
      <c r="I2" s="464"/>
      <c r="J2" s="464"/>
      <c r="K2" s="464"/>
      <c r="L2" s="464"/>
      <c r="M2" s="464"/>
      <c r="N2" s="464"/>
      <c r="O2" s="464"/>
      <c r="P2" s="464"/>
      <c r="Q2" s="465"/>
    </row>
    <row r="3" spans="1:18" ht="45.75" customHeight="1" x14ac:dyDescent="0.25">
      <c r="A3" s="480" t="s">
        <v>269</v>
      </c>
      <c r="B3" s="481"/>
      <c r="C3" s="481"/>
      <c r="D3" s="481"/>
      <c r="E3" s="481"/>
      <c r="F3" s="481"/>
      <c r="G3" s="481"/>
      <c r="H3" s="481"/>
      <c r="I3" s="481"/>
      <c r="J3" s="481"/>
      <c r="K3" s="481"/>
      <c r="L3" s="481"/>
      <c r="M3" s="481"/>
      <c r="N3" s="481"/>
      <c r="O3" s="481"/>
      <c r="P3" s="481"/>
      <c r="Q3" s="481"/>
      <c r="R3" s="156">
        <f>2593.73*30%</f>
        <v>778.11900000000003</v>
      </c>
    </row>
    <row r="4" spans="1:18" ht="5.0999999999999996" customHeight="1" x14ac:dyDescent="0.25">
      <c r="A4" s="478"/>
      <c r="B4" s="478"/>
      <c r="C4" s="478"/>
      <c r="D4" s="478"/>
      <c r="E4" s="478"/>
      <c r="F4" s="478"/>
      <c r="G4" s="478"/>
      <c r="H4" s="478"/>
      <c r="I4" s="478"/>
      <c r="J4" s="478"/>
      <c r="K4" s="478"/>
      <c r="L4" s="478"/>
      <c r="M4" s="478"/>
      <c r="N4" s="478"/>
      <c r="O4" s="478"/>
      <c r="P4" s="478"/>
      <c r="Q4" s="478"/>
    </row>
    <row r="5" spans="1:18" s="158" customFormat="1" ht="20.100000000000001" customHeight="1" x14ac:dyDescent="0.2">
      <c r="A5" s="477" t="s">
        <v>270</v>
      </c>
      <c r="B5" s="477"/>
      <c r="C5" s="477"/>
      <c r="D5" s="477"/>
      <c r="E5" s="477"/>
      <c r="F5" s="477"/>
      <c r="G5" s="477"/>
      <c r="H5" s="477"/>
      <c r="I5" s="477"/>
      <c r="J5" s="477"/>
      <c r="K5" s="477"/>
      <c r="L5" s="477"/>
      <c r="M5" s="477"/>
      <c r="N5" s="477"/>
      <c r="O5" s="477"/>
      <c r="P5" s="477"/>
      <c r="Q5" s="477"/>
    </row>
    <row r="6" spans="1:18" ht="35.1" customHeight="1" x14ac:dyDescent="0.25">
      <c r="A6" s="478" t="s">
        <v>271</v>
      </c>
      <c r="B6" s="478"/>
      <c r="C6" s="478"/>
      <c r="D6" s="478"/>
      <c r="E6" s="478"/>
      <c r="F6" s="478"/>
      <c r="G6" s="478"/>
      <c r="H6" s="478"/>
      <c r="I6" s="478"/>
      <c r="J6" s="478"/>
      <c r="K6" s="478"/>
      <c r="L6" s="478"/>
      <c r="M6" s="478"/>
      <c r="N6" s="478"/>
      <c r="O6" s="478"/>
      <c r="P6" s="478"/>
      <c r="Q6" s="478"/>
    </row>
    <row r="7" spans="1:18" s="159" customFormat="1" ht="35.1" customHeight="1" x14ac:dyDescent="0.25">
      <c r="A7" s="476" t="s">
        <v>272</v>
      </c>
      <c r="B7" s="461"/>
      <c r="C7" s="461"/>
      <c r="D7" s="461"/>
      <c r="E7" s="461"/>
      <c r="F7" s="461"/>
      <c r="G7" s="461"/>
      <c r="H7" s="461"/>
      <c r="I7" s="461"/>
      <c r="J7" s="461"/>
      <c r="K7" s="461"/>
      <c r="L7" s="461"/>
      <c r="M7" s="461"/>
      <c r="N7" s="461"/>
      <c r="O7" s="461"/>
      <c r="P7" s="461"/>
      <c r="Q7" s="461"/>
    </row>
    <row r="8" spans="1:18" s="158" customFormat="1" ht="6" hidden="1" customHeight="1" x14ac:dyDescent="0.2">
      <c r="A8" s="477" t="s">
        <v>273</v>
      </c>
      <c r="B8" s="477"/>
      <c r="C8" s="477"/>
      <c r="D8" s="477"/>
      <c r="E8" s="477"/>
      <c r="F8" s="477"/>
      <c r="G8" s="477"/>
      <c r="H8" s="477"/>
      <c r="I8" s="477"/>
      <c r="J8" s="477"/>
      <c r="K8" s="477"/>
      <c r="L8" s="477"/>
      <c r="M8" s="477"/>
      <c r="N8" s="477"/>
      <c r="O8" s="477"/>
      <c r="P8" s="477"/>
      <c r="Q8" s="477"/>
    </row>
    <row r="9" spans="1:18" s="159" customFormat="1" ht="6" hidden="1" customHeight="1" x14ac:dyDescent="0.25">
      <c r="A9" s="462" t="s">
        <v>274</v>
      </c>
      <c r="B9" s="461"/>
      <c r="C9" s="461"/>
      <c r="D9" s="461"/>
      <c r="E9" s="461"/>
      <c r="F9" s="461"/>
      <c r="G9" s="461"/>
      <c r="H9" s="461"/>
      <c r="I9" s="461"/>
      <c r="J9" s="461"/>
      <c r="K9" s="461"/>
      <c r="L9" s="461"/>
      <c r="M9" s="461"/>
      <c r="N9" s="461"/>
      <c r="O9" s="461"/>
      <c r="P9" s="461"/>
      <c r="Q9" s="461"/>
    </row>
    <row r="10" spans="1:18" s="159" customFormat="1" ht="6" hidden="1" customHeight="1" x14ac:dyDescent="0.25">
      <c r="A10" s="461" t="s">
        <v>275</v>
      </c>
      <c r="B10" s="461"/>
      <c r="C10" s="461"/>
      <c r="D10" s="461"/>
      <c r="E10" s="461"/>
      <c r="F10" s="461"/>
      <c r="G10" s="461"/>
      <c r="H10" s="461"/>
      <c r="I10" s="461"/>
      <c r="J10" s="461"/>
      <c r="K10" s="461"/>
      <c r="L10" s="461"/>
      <c r="M10" s="461"/>
      <c r="N10" s="461"/>
      <c r="O10" s="461"/>
      <c r="P10" s="461"/>
      <c r="Q10" s="461"/>
    </row>
    <row r="11" spans="1:18" ht="5.0999999999999996" customHeight="1" x14ac:dyDescent="0.25">
      <c r="A11" s="478"/>
      <c r="B11" s="478"/>
      <c r="C11" s="478"/>
      <c r="D11" s="478"/>
      <c r="E11" s="478"/>
      <c r="F11" s="478"/>
      <c r="G11" s="478"/>
      <c r="H11" s="478"/>
      <c r="I11" s="478"/>
      <c r="J11" s="478"/>
      <c r="K11" s="478"/>
      <c r="L11" s="478"/>
      <c r="M11" s="478"/>
      <c r="N11" s="478"/>
      <c r="O11" s="478"/>
      <c r="P11" s="478"/>
      <c r="Q11" s="478"/>
    </row>
    <row r="12" spans="1:18" s="158" customFormat="1" ht="20.100000000000001" customHeight="1" x14ac:dyDescent="0.2">
      <c r="A12" s="477" t="s">
        <v>276</v>
      </c>
      <c r="B12" s="477"/>
      <c r="C12" s="477"/>
      <c r="D12" s="477"/>
      <c r="E12" s="477"/>
      <c r="F12" s="477"/>
      <c r="G12" s="477"/>
      <c r="H12" s="477"/>
      <c r="I12" s="477"/>
      <c r="J12" s="477"/>
      <c r="K12" s="477"/>
      <c r="L12" s="477"/>
      <c r="M12" s="477"/>
      <c r="N12" s="477"/>
      <c r="O12" s="477"/>
      <c r="P12" s="477"/>
      <c r="Q12" s="477"/>
    </row>
    <row r="13" spans="1:18" ht="47.25" customHeight="1" x14ac:dyDescent="0.25">
      <c r="A13" s="482" t="s">
        <v>277</v>
      </c>
      <c r="B13" s="461"/>
      <c r="C13" s="461"/>
      <c r="D13" s="461"/>
      <c r="E13" s="461"/>
      <c r="F13" s="461"/>
      <c r="G13" s="461"/>
      <c r="H13" s="461"/>
      <c r="I13" s="461"/>
      <c r="J13" s="461"/>
      <c r="K13" s="461"/>
      <c r="L13" s="461"/>
      <c r="M13" s="461"/>
      <c r="N13" s="461"/>
      <c r="O13" s="461"/>
      <c r="P13" s="461"/>
      <c r="Q13" s="461"/>
    </row>
    <row r="14" spans="1:18" s="159" customFormat="1" ht="35.1" customHeight="1" x14ac:dyDescent="0.25">
      <c r="A14" s="476" t="s">
        <v>278</v>
      </c>
      <c r="B14" s="461"/>
      <c r="C14" s="461"/>
      <c r="D14" s="461"/>
      <c r="E14" s="461"/>
      <c r="F14" s="461"/>
      <c r="G14" s="461"/>
      <c r="H14" s="461"/>
      <c r="I14" s="461"/>
      <c r="J14" s="461"/>
      <c r="K14" s="461"/>
      <c r="L14" s="461"/>
      <c r="M14" s="461"/>
      <c r="N14" s="461"/>
      <c r="O14" s="461"/>
      <c r="P14" s="461"/>
      <c r="Q14" s="461"/>
    </row>
    <row r="15" spans="1:18" ht="5.0999999999999996" customHeight="1" x14ac:dyDescent="0.25">
      <c r="A15" s="478"/>
      <c r="B15" s="478"/>
      <c r="C15" s="478"/>
      <c r="D15" s="478"/>
      <c r="E15" s="478"/>
      <c r="F15" s="478"/>
      <c r="G15" s="478"/>
      <c r="H15" s="478"/>
      <c r="I15" s="478"/>
      <c r="J15" s="478"/>
      <c r="K15" s="478"/>
      <c r="L15" s="478"/>
      <c r="M15" s="478"/>
      <c r="N15" s="478"/>
      <c r="O15" s="478"/>
      <c r="P15" s="478"/>
      <c r="Q15" s="478"/>
    </row>
    <row r="16" spans="1:18" s="158" customFormat="1" ht="20.100000000000001" customHeight="1" x14ac:dyDescent="0.2">
      <c r="A16" s="474" t="s">
        <v>279</v>
      </c>
      <c r="B16" s="474"/>
      <c r="C16" s="474"/>
      <c r="D16" s="474"/>
      <c r="E16" s="474"/>
      <c r="F16" s="474"/>
      <c r="G16" s="474"/>
      <c r="H16" s="474"/>
      <c r="I16" s="474"/>
      <c r="J16" s="474"/>
      <c r="K16" s="474"/>
      <c r="L16" s="474"/>
      <c r="M16" s="474"/>
      <c r="N16" s="474"/>
      <c r="O16" s="474"/>
      <c r="P16" s="474"/>
      <c r="Q16" s="474"/>
    </row>
    <row r="17" spans="1:17" ht="38.25" customHeight="1" x14ac:dyDescent="0.25">
      <c r="A17" s="460" t="s">
        <v>280</v>
      </c>
      <c r="B17" s="460"/>
      <c r="C17" s="460"/>
      <c r="D17" s="460"/>
      <c r="E17" s="460"/>
      <c r="F17" s="460"/>
      <c r="G17" s="460"/>
      <c r="H17" s="460"/>
      <c r="I17" s="460"/>
      <c r="J17" s="460"/>
      <c r="K17" s="460"/>
      <c r="L17" s="460"/>
      <c r="M17" s="460"/>
      <c r="N17" s="460"/>
      <c r="O17" s="460"/>
      <c r="P17" s="460"/>
      <c r="Q17" s="460"/>
    </row>
    <row r="18" spans="1:17" ht="408.95" customHeight="1" x14ac:dyDescent="0.25">
      <c r="A18" s="460"/>
      <c r="B18" s="460"/>
      <c r="C18" s="460"/>
      <c r="D18" s="460"/>
      <c r="E18" s="460"/>
      <c r="F18" s="460"/>
      <c r="G18" s="460"/>
      <c r="H18" s="460"/>
      <c r="I18" s="460"/>
      <c r="J18" s="460"/>
      <c r="K18" s="460"/>
      <c r="L18" s="460"/>
      <c r="M18" s="460"/>
      <c r="N18" s="460"/>
      <c r="O18" s="460"/>
      <c r="P18" s="460"/>
      <c r="Q18" s="460"/>
    </row>
    <row r="19" spans="1:17" ht="38.25" customHeight="1" x14ac:dyDescent="0.25">
      <c r="A19" s="459" t="s">
        <v>281</v>
      </c>
      <c r="B19" s="475"/>
      <c r="C19" s="475"/>
      <c r="D19" s="475"/>
      <c r="E19" s="475"/>
      <c r="F19" s="475"/>
      <c r="G19" s="475"/>
      <c r="H19" s="475"/>
      <c r="I19" s="475"/>
      <c r="J19" s="475"/>
      <c r="K19" s="475"/>
      <c r="L19" s="475"/>
      <c r="M19" s="475"/>
      <c r="N19" s="475"/>
      <c r="O19" s="475"/>
      <c r="P19" s="475"/>
      <c r="Q19" s="475"/>
    </row>
    <row r="20" spans="1:17" ht="13.5" customHeight="1" x14ac:dyDescent="0.25">
      <c r="A20" s="467" t="s">
        <v>282</v>
      </c>
      <c r="B20" s="468"/>
      <c r="C20" s="468"/>
      <c r="D20" s="468"/>
      <c r="E20" s="468"/>
      <c r="F20" s="468"/>
      <c r="G20" s="468"/>
      <c r="H20" s="468"/>
      <c r="I20" s="468"/>
      <c r="J20" s="468"/>
      <c r="K20" s="468"/>
      <c r="L20" s="468"/>
      <c r="M20" s="468"/>
      <c r="N20" s="468"/>
      <c r="O20" s="468"/>
      <c r="P20" s="468"/>
      <c r="Q20" s="469"/>
    </row>
    <row r="21" spans="1:17" ht="35.1" customHeight="1" thickBot="1" x14ac:dyDescent="0.3">
      <c r="A21" s="470" t="s">
        <v>283</v>
      </c>
      <c r="B21" s="471"/>
      <c r="C21" s="471"/>
      <c r="D21" s="471"/>
      <c r="E21" s="471"/>
      <c r="F21" s="471"/>
      <c r="G21" s="471"/>
      <c r="H21" s="471"/>
      <c r="I21" s="471"/>
      <c r="J21" s="471"/>
      <c r="K21" s="471"/>
      <c r="L21" s="471"/>
      <c r="M21" s="471"/>
      <c r="N21" s="471"/>
      <c r="O21" s="471"/>
      <c r="P21" s="471"/>
      <c r="Q21" s="472"/>
    </row>
    <row r="22" spans="1:17" s="158" customFormat="1" ht="6" hidden="1" customHeight="1" x14ac:dyDescent="0.2">
      <c r="A22" s="473" t="s">
        <v>284</v>
      </c>
      <c r="B22" s="473"/>
      <c r="C22" s="473"/>
      <c r="D22" s="473"/>
      <c r="E22" s="473"/>
      <c r="F22" s="473"/>
      <c r="G22" s="473"/>
      <c r="H22" s="473"/>
      <c r="I22" s="473"/>
      <c r="J22" s="473"/>
      <c r="K22" s="473"/>
      <c r="L22" s="473"/>
      <c r="M22" s="473"/>
      <c r="N22" s="473"/>
      <c r="O22" s="473"/>
      <c r="P22" s="473"/>
      <c r="Q22" s="473"/>
    </row>
    <row r="23" spans="1:17" ht="6" hidden="1" customHeight="1" x14ac:dyDescent="0.25">
      <c r="A23" s="462" t="s">
        <v>285</v>
      </c>
      <c r="B23" s="461"/>
      <c r="C23" s="461"/>
      <c r="D23" s="461"/>
      <c r="E23" s="461"/>
      <c r="F23" s="461"/>
      <c r="G23" s="461"/>
      <c r="H23" s="461"/>
      <c r="I23" s="461"/>
      <c r="J23" s="461"/>
      <c r="K23" s="461"/>
      <c r="L23" s="461"/>
      <c r="M23" s="461"/>
      <c r="N23" s="461"/>
      <c r="O23" s="461"/>
      <c r="P23" s="461"/>
      <c r="Q23" s="461"/>
    </row>
    <row r="24" spans="1:17" s="159" customFormat="1" ht="6" hidden="1" customHeight="1" x14ac:dyDescent="0.25">
      <c r="A24" s="461" t="s">
        <v>286</v>
      </c>
      <c r="B24" s="461"/>
      <c r="C24" s="461"/>
      <c r="D24" s="461"/>
      <c r="E24" s="461"/>
      <c r="F24" s="461"/>
      <c r="G24" s="461"/>
      <c r="H24" s="461"/>
      <c r="I24" s="461"/>
      <c r="J24" s="461"/>
      <c r="K24" s="461"/>
      <c r="L24" s="461"/>
      <c r="M24" s="461"/>
      <c r="N24" s="461"/>
      <c r="O24" s="461"/>
      <c r="P24" s="461"/>
      <c r="Q24" s="461"/>
    </row>
    <row r="25" spans="1:17" ht="6" hidden="1" customHeight="1" x14ac:dyDescent="0.25">
      <c r="A25" s="462" t="s">
        <v>287</v>
      </c>
      <c r="B25" s="461"/>
      <c r="C25" s="461"/>
      <c r="D25" s="461"/>
      <c r="E25" s="461"/>
      <c r="F25" s="461"/>
      <c r="G25" s="461"/>
      <c r="H25" s="461"/>
      <c r="I25" s="461"/>
      <c r="J25" s="461"/>
      <c r="K25" s="461"/>
      <c r="L25" s="461"/>
      <c r="M25" s="461"/>
      <c r="N25" s="461"/>
      <c r="O25" s="461"/>
      <c r="P25" s="461"/>
      <c r="Q25" s="461"/>
    </row>
    <row r="26" spans="1:17" ht="6" hidden="1" customHeight="1" x14ac:dyDescent="0.25">
      <c r="A26" s="461" t="s">
        <v>288</v>
      </c>
      <c r="B26" s="461"/>
      <c r="C26" s="461"/>
      <c r="D26" s="461"/>
      <c r="E26" s="461"/>
      <c r="F26" s="461"/>
      <c r="G26" s="461"/>
      <c r="H26" s="461"/>
      <c r="I26" s="461"/>
      <c r="J26" s="461"/>
      <c r="K26" s="461"/>
      <c r="L26" s="461"/>
      <c r="M26" s="461"/>
      <c r="N26" s="461"/>
      <c r="O26" s="461"/>
      <c r="P26" s="461"/>
      <c r="Q26" s="461"/>
    </row>
    <row r="27" spans="1:17" ht="6" hidden="1" customHeight="1" x14ac:dyDescent="0.25">
      <c r="A27" s="462" t="s">
        <v>289</v>
      </c>
      <c r="B27" s="461"/>
      <c r="C27" s="461"/>
      <c r="D27" s="461"/>
      <c r="E27" s="461"/>
      <c r="F27" s="461"/>
      <c r="G27" s="461"/>
      <c r="H27" s="461"/>
      <c r="I27" s="461"/>
      <c r="J27" s="461"/>
      <c r="K27" s="461"/>
      <c r="L27" s="461"/>
      <c r="M27" s="461"/>
      <c r="N27" s="461"/>
      <c r="O27" s="461"/>
      <c r="P27" s="461"/>
      <c r="Q27" s="461"/>
    </row>
    <row r="28" spans="1:17" ht="6" hidden="1" customHeight="1" thickBot="1" x14ac:dyDescent="0.3">
      <c r="A28" s="461" t="s">
        <v>290</v>
      </c>
      <c r="B28" s="461"/>
      <c r="C28" s="461"/>
      <c r="D28" s="461"/>
      <c r="E28" s="461"/>
      <c r="F28" s="461"/>
      <c r="G28" s="461"/>
      <c r="H28" s="461"/>
      <c r="I28" s="461"/>
      <c r="J28" s="461"/>
      <c r="K28" s="461"/>
      <c r="L28" s="461"/>
      <c r="M28" s="461"/>
      <c r="N28" s="461"/>
      <c r="O28" s="461"/>
      <c r="P28" s="461"/>
      <c r="Q28" s="461"/>
    </row>
    <row r="29" spans="1:17" ht="56.45" customHeight="1" thickBot="1" x14ac:dyDescent="0.3">
      <c r="A29" s="463" t="s">
        <v>291</v>
      </c>
      <c r="B29" s="464"/>
      <c r="C29" s="464"/>
      <c r="D29" s="464"/>
      <c r="E29" s="464"/>
      <c r="F29" s="464"/>
      <c r="G29" s="464"/>
      <c r="H29" s="464"/>
      <c r="I29" s="464"/>
      <c r="J29" s="464"/>
      <c r="K29" s="464"/>
      <c r="L29" s="464"/>
      <c r="M29" s="464"/>
      <c r="N29" s="464"/>
      <c r="O29" s="464"/>
      <c r="P29" s="464"/>
      <c r="Q29" s="465"/>
    </row>
    <row r="30" spans="1:17" ht="21.2" customHeight="1" x14ac:dyDescent="0.25">
      <c r="A30" s="466" t="s">
        <v>292</v>
      </c>
      <c r="B30" s="466"/>
      <c r="C30" s="466"/>
      <c r="D30" s="466"/>
      <c r="E30" s="466"/>
      <c r="F30" s="466"/>
      <c r="G30" s="466"/>
      <c r="H30" s="466"/>
      <c r="I30" s="466"/>
      <c r="J30" s="466"/>
      <c r="K30" s="466"/>
      <c r="L30" s="466"/>
      <c r="M30" s="466"/>
      <c r="N30" s="466"/>
      <c r="O30" s="466"/>
      <c r="P30" s="466"/>
      <c r="Q30" s="466"/>
    </row>
    <row r="31" spans="1:17" ht="89.85" customHeight="1" x14ac:dyDescent="0.25">
      <c r="A31" s="160" t="s">
        <v>3</v>
      </c>
      <c r="B31" s="459" t="s">
        <v>293</v>
      </c>
      <c r="C31" s="459"/>
      <c r="D31" s="459"/>
      <c r="E31" s="161">
        <v>8.3299999999999999E-2</v>
      </c>
      <c r="F31" s="456" t="s">
        <v>294</v>
      </c>
      <c r="G31" s="456"/>
      <c r="H31" s="456"/>
      <c r="I31" s="456"/>
      <c r="J31" s="456"/>
      <c r="K31" s="456"/>
      <c r="L31" s="456"/>
      <c r="M31" s="456"/>
      <c r="N31" s="456"/>
      <c r="O31" s="456"/>
      <c r="P31" s="456"/>
      <c r="Q31" s="456"/>
    </row>
    <row r="32" spans="1:17" ht="117.75" customHeight="1" x14ac:dyDescent="0.25">
      <c r="A32" s="160" t="s">
        <v>5</v>
      </c>
      <c r="B32" s="459" t="s">
        <v>295</v>
      </c>
      <c r="C32" s="459"/>
      <c r="D32" s="459"/>
      <c r="E32" s="161">
        <v>0.1111</v>
      </c>
      <c r="F32" s="460"/>
      <c r="G32" s="460"/>
      <c r="H32" s="460"/>
      <c r="I32" s="460"/>
      <c r="J32" s="460"/>
      <c r="K32" s="460"/>
      <c r="L32" s="460"/>
      <c r="M32" s="460"/>
      <c r="N32" s="460"/>
      <c r="O32" s="460"/>
      <c r="P32" s="460"/>
      <c r="Q32" s="460"/>
    </row>
    <row r="33" spans="1:17" s="164" customFormat="1" ht="47.25" customHeight="1" x14ac:dyDescent="0.25">
      <c r="A33" s="162" t="s">
        <v>7</v>
      </c>
      <c r="B33" s="405" t="s">
        <v>296</v>
      </c>
      <c r="C33" s="405"/>
      <c r="D33" s="405"/>
      <c r="E33" s="163">
        <f>(E31+E32)*E45</f>
        <v>6.8623200000000009E-2</v>
      </c>
      <c r="F33" s="456" t="s">
        <v>297</v>
      </c>
      <c r="G33" s="456"/>
      <c r="H33" s="456"/>
      <c r="I33" s="456"/>
      <c r="J33" s="456"/>
      <c r="K33" s="456"/>
      <c r="L33" s="456"/>
      <c r="M33" s="456"/>
      <c r="N33" s="456"/>
      <c r="O33" s="456"/>
      <c r="P33" s="456"/>
      <c r="Q33" s="456"/>
    </row>
    <row r="34" spans="1:17" s="164" customFormat="1" ht="15" customHeight="1" x14ac:dyDescent="0.25">
      <c r="A34" s="442" t="s">
        <v>298</v>
      </c>
      <c r="B34" s="442"/>
      <c r="C34" s="442"/>
      <c r="D34" s="442"/>
      <c r="E34" s="166">
        <f>SUM(E31:E33)</f>
        <v>0.26302320000000001</v>
      </c>
      <c r="F34" s="442" t="s">
        <v>299</v>
      </c>
      <c r="G34" s="442"/>
      <c r="H34" s="442"/>
      <c r="I34" s="442"/>
      <c r="J34" s="442"/>
      <c r="K34" s="442"/>
      <c r="L34" s="442"/>
      <c r="M34" s="442"/>
      <c r="N34" s="442"/>
      <c r="O34" s="442"/>
      <c r="P34" s="442"/>
      <c r="Q34" s="442"/>
    </row>
    <row r="35" spans="1:17" s="164" customFormat="1" ht="33.75" customHeight="1" x14ac:dyDescent="0.25">
      <c r="A35" s="457" t="s">
        <v>300</v>
      </c>
      <c r="B35" s="458"/>
      <c r="C35" s="458"/>
      <c r="D35" s="458"/>
      <c r="E35" s="458"/>
      <c r="F35" s="458"/>
      <c r="G35" s="458"/>
      <c r="H35" s="458"/>
      <c r="I35" s="458"/>
      <c r="J35" s="458"/>
      <c r="K35" s="458"/>
      <c r="L35" s="458"/>
      <c r="M35" s="458"/>
      <c r="N35" s="458"/>
      <c r="O35" s="458"/>
      <c r="P35" s="458"/>
      <c r="Q35" s="458"/>
    </row>
    <row r="36" spans="1:17" s="164" customFormat="1" ht="18.75" customHeight="1" x14ac:dyDescent="0.25">
      <c r="A36" s="442" t="s">
        <v>301</v>
      </c>
      <c r="B36" s="442"/>
      <c r="C36" s="442"/>
      <c r="D36" s="442"/>
      <c r="E36" s="442"/>
      <c r="F36" s="442"/>
      <c r="G36" s="442"/>
      <c r="H36" s="442"/>
      <c r="I36" s="442"/>
      <c r="J36" s="442"/>
      <c r="K36" s="442"/>
      <c r="L36" s="442"/>
      <c r="M36" s="442"/>
      <c r="N36" s="442"/>
      <c r="O36" s="442"/>
      <c r="P36" s="442"/>
      <c r="Q36" s="442"/>
    </row>
    <row r="37" spans="1:17" s="164" customFormat="1" ht="32.25" customHeight="1" x14ac:dyDescent="0.25">
      <c r="A37" s="162" t="s">
        <v>3</v>
      </c>
      <c r="B37" s="405" t="s">
        <v>302</v>
      </c>
      <c r="C37" s="405"/>
      <c r="D37" s="405"/>
      <c r="E37" s="163">
        <f>'[1]ES Metodologia'!B12</f>
        <v>0.2</v>
      </c>
      <c r="F37" s="456" t="s">
        <v>303</v>
      </c>
      <c r="G37" s="456"/>
      <c r="H37" s="456"/>
      <c r="I37" s="456"/>
      <c r="J37" s="456"/>
      <c r="K37" s="456"/>
      <c r="L37" s="456"/>
      <c r="M37" s="456"/>
      <c r="N37" s="456"/>
      <c r="O37" s="456"/>
      <c r="P37" s="456"/>
      <c r="Q37" s="456"/>
    </row>
    <row r="38" spans="1:17" s="164" customFormat="1" ht="42.75" customHeight="1" x14ac:dyDescent="0.25">
      <c r="A38" s="162" t="s">
        <v>5</v>
      </c>
      <c r="B38" s="405" t="s">
        <v>304</v>
      </c>
      <c r="C38" s="405"/>
      <c r="D38" s="405"/>
      <c r="E38" s="163">
        <f>'[1]ES Metodologia'!B13</f>
        <v>2.5000000000000001E-2</v>
      </c>
      <c r="F38" s="456" t="s">
        <v>305</v>
      </c>
      <c r="G38" s="456"/>
      <c r="H38" s="456"/>
      <c r="I38" s="456"/>
      <c r="J38" s="456"/>
      <c r="K38" s="456"/>
      <c r="L38" s="456"/>
      <c r="M38" s="456"/>
      <c r="N38" s="456"/>
      <c r="O38" s="456"/>
      <c r="P38" s="456"/>
      <c r="Q38" s="456"/>
    </row>
    <row r="39" spans="1:17" s="164" customFormat="1" ht="47.25" customHeight="1" x14ac:dyDescent="0.25">
      <c r="A39" s="162" t="s">
        <v>7</v>
      </c>
      <c r="B39" s="405" t="s">
        <v>306</v>
      </c>
      <c r="C39" s="405"/>
      <c r="D39" s="405"/>
      <c r="E39" s="163">
        <f>'[1]ES Metodologia'!B14</f>
        <v>1.4999999999999999E-2</v>
      </c>
      <c r="F39" s="456" t="s">
        <v>307</v>
      </c>
      <c r="G39" s="456"/>
      <c r="H39" s="456"/>
      <c r="I39" s="456"/>
      <c r="J39" s="456"/>
      <c r="K39" s="456"/>
      <c r="L39" s="456"/>
      <c r="M39" s="456"/>
      <c r="N39" s="456"/>
      <c r="O39" s="456"/>
      <c r="P39" s="456"/>
      <c r="Q39" s="456"/>
    </row>
    <row r="40" spans="1:17" s="164" customFormat="1" ht="69" customHeight="1" x14ac:dyDescent="0.25">
      <c r="A40" s="162" t="s">
        <v>9</v>
      </c>
      <c r="B40" s="405" t="s">
        <v>308</v>
      </c>
      <c r="C40" s="405"/>
      <c r="D40" s="405"/>
      <c r="E40" s="163">
        <f>'[1]ES Metodologia'!B15</f>
        <v>1.4999999999999999E-2</v>
      </c>
      <c r="F40" s="456" t="s">
        <v>309</v>
      </c>
      <c r="G40" s="456"/>
      <c r="H40" s="456"/>
      <c r="I40" s="456"/>
      <c r="J40" s="456"/>
      <c r="K40" s="456"/>
      <c r="L40" s="456"/>
      <c r="M40" s="456"/>
      <c r="N40" s="456"/>
      <c r="O40" s="456"/>
      <c r="P40" s="456"/>
      <c r="Q40" s="456"/>
    </row>
    <row r="41" spans="1:17" s="164" customFormat="1" ht="58.5" customHeight="1" x14ac:dyDescent="0.25">
      <c r="A41" s="162" t="s">
        <v>29</v>
      </c>
      <c r="B41" s="405" t="s">
        <v>310</v>
      </c>
      <c r="C41" s="405"/>
      <c r="D41" s="405"/>
      <c r="E41" s="163">
        <f>'[1]ES Metodologia'!B16</f>
        <v>0.01</v>
      </c>
      <c r="F41" s="456" t="s">
        <v>311</v>
      </c>
      <c r="G41" s="456"/>
      <c r="H41" s="456"/>
      <c r="I41" s="456"/>
      <c r="J41" s="456"/>
      <c r="K41" s="456"/>
      <c r="L41" s="456"/>
      <c r="M41" s="456"/>
      <c r="N41" s="456"/>
      <c r="O41" s="456"/>
      <c r="P41" s="456"/>
      <c r="Q41" s="456"/>
    </row>
    <row r="42" spans="1:17" s="164" customFormat="1" ht="37.5" customHeight="1" x14ac:dyDescent="0.25">
      <c r="A42" s="162" t="s">
        <v>31</v>
      </c>
      <c r="B42" s="405" t="s">
        <v>312</v>
      </c>
      <c r="C42" s="405"/>
      <c r="D42" s="405"/>
      <c r="E42" s="163">
        <f>'[1]ES Metodologia'!B17</f>
        <v>6.0000000000000001E-3</v>
      </c>
      <c r="F42" s="456" t="s">
        <v>313</v>
      </c>
      <c r="G42" s="456"/>
      <c r="H42" s="456"/>
      <c r="I42" s="456"/>
      <c r="J42" s="456"/>
      <c r="K42" s="456"/>
      <c r="L42" s="456"/>
      <c r="M42" s="456"/>
      <c r="N42" s="456"/>
      <c r="O42" s="456"/>
      <c r="P42" s="456"/>
      <c r="Q42" s="456"/>
    </row>
    <row r="43" spans="1:17" s="164" customFormat="1" ht="36" customHeight="1" x14ac:dyDescent="0.25">
      <c r="A43" s="162" t="s">
        <v>44</v>
      </c>
      <c r="B43" s="405" t="s">
        <v>314</v>
      </c>
      <c r="C43" s="405"/>
      <c r="D43" s="405"/>
      <c r="E43" s="163">
        <f>'[1]ES Metodologia'!B18</f>
        <v>2E-3</v>
      </c>
      <c r="F43" s="456" t="s">
        <v>315</v>
      </c>
      <c r="G43" s="456"/>
      <c r="H43" s="456"/>
      <c r="I43" s="456"/>
      <c r="J43" s="456"/>
      <c r="K43" s="456"/>
      <c r="L43" s="456"/>
      <c r="M43" s="456"/>
      <c r="N43" s="456"/>
      <c r="O43" s="456"/>
      <c r="P43" s="456"/>
      <c r="Q43" s="456"/>
    </row>
    <row r="44" spans="1:17" s="164" customFormat="1" ht="41.25" customHeight="1" x14ac:dyDescent="0.25">
      <c r="A44" s="162" t="s">
        <v>46</v>
      </c>
      <c r="B44" s="405" t="s">
        <v>316</v>
      </c>
      <c r="C44" s="405"/>
      <c r="D44" s="405"/>
      <c r="E44" s="163">
        <f>'[1]ES Metodologia'!B19</f>
        <v>0.08</v>
      </c>
      <c r="F44" s="456" t="s">
        <v>317</v>
      </c>
      <c r="G44" s="456"/>
      <c r="H44" s="456"/>
      <c r="I44" s="456"/>
      <c r="J44" s="456"/>
      <c r="K44" s="456"/>
      <c r="L44" s="456"/>
      <c r="M44" s="456"/>
      <c r="N44" s="456"/>
      <c r="O44" s="456"/>
      <c r="P44" s="456"/>
      <c r="Q44" s="456"/>
    </row>
    <row r="45" spans="1:17" s="164" customFormat="1" ht="15" customHeight="1" x14ac:dyDescent="0.25">
      <c r="A45" s="442" t="s">
        <v>298</v>
      </c>
      <c r="B45" s="442"/>
      <c r="C45" s="442"/>
      <c r="D45" s="442"/>
      <c r="E45" s="166">
        <f>SUM(E37:E44)</f>
        <v>0.35300000000000004</v>
      </c>
      <c r="F45" s="405" t="s">
        <v>318</v>
      </c>
      <c r="G45" s="405"/>
      <c r="H45" s="405"/>
      <c r="I45" s="405"/>
      <c r="J45" s="405"/>
      <c r="K45" s="405"/>
      <c r="L45" s="405"/>
      <c r="M45" s="405"/>
      <c r="N45" s="405"/>
      <c r="O45" s="405"/>
      <c r="P45" s="405"/>
      <c r="Q45" s="405"/>
    </row>
    <row r="46" spans="1:17" s="164" customFormat="1" ht="2.1" customHeight="1" x14ac:dyDescent="0.25">
      <c r="A46" s="168"/>
      <c r="B46" s="168"/>
      <c r="C46" s="168"/>
      <c r="D46" s="168"/>
      <c r="E46" s="169"/>
      <c r="F46" s="170"/>
      <c r="G46" s="170"/>
      <c r="H46" s="170"/>
      <c r="I46" s="170"/>
      <c r="J46" s="170"/>
      <c r="K46" s="170"/>
      <c r="L46" s="170"/>
      <c r="M46" s="170"/>
      <c r="N46" s="170"/>
      <c r="O46" s="170"/>
      <c r="P46" s="170"/>
      <c r="Q46" s="170"/>
    </row>
    <row r="47" spans="1:17" s="164" customFormat="1" ht="24.75" customHeight="1" x14ac:dyDescent="0.25">
      <c r="A47" s="451" t="s">
        <v>319</v>
      </c>
      <c r="B47" s="452"/>
      <c r="C47" s="452"/>
      <c r="D47" s="452"/>
      <c r="E47" s="452"/>
      <c r="F47" s="452"/>
      <c r="G47" s="452"/>
      <c r="H47" s="452"/>
      <c r="I47" s="452"/>
      <c r="J47" s="452"/>
      <c r="K47" s="452"/>
      <c r="L47" s="452"/>
      <c r="M47" s="452"/>
      <c r="N47" s="452"/>
      <c r="O47" s="452"/>
      <c r="P47" s="452"/>
      <c r="Q47" s="452"/>
    </row>
    <row r="48" spans="1:17" s="164" customFormat="1" ht="21" customHeight="1" x14ac:dyDescent="0.25">
      <c r="A48" s="453" t="s">
        <v>320</v>
      </c>
      <c r="B48" s="453"/>
      <c r="C48" s="453"/>
      <c r="D48" s="453"/>
      <c r="E48" s="453"/>
      <c r="F48" s="453"/>
      <c r="G48" s="453"/>
      <c r="H48" s="453"/>
      <c r="I48" s="453"/>
      <c r="J48" s="453"/>
      <c r="K48" s="453"/>
      <c r="L48" s="453"/>
      <c r="M48" s="453"/>
      <c r="N48" s="453"/>
      <c r="O48" s="453"/>
      <c r="P48" s="453"/>
      <c r="Q48" s="453"/>
    </row>
    <row r="49" spans="1:17" s="171" customFormat="1" ht="18.95" customHeight="1" x14ac:dyDescent="0.25">
      <c r="A49" s="454" t="s">
        <v>321</v>
      </c>
      <c r="B49" s="455"/>
      <c r="C49" s="455"/>
      <c r="D49" s="455"/>
      <c r="E49" s="455"/>
      <c r="F49" s="455"/>
      <c r="G49" s="455"/>
      <c r="H49" s="455"/>
      <c r="I49" s="455"/>
      <c r="J49" s="455"/>
      <c r="K49" s="455"/>
      <c r="L49" s="455"/>
      <c r="M49" s="455"/>
      <c r="N49" s="455"/>
      <c r="O49" s="455"/>
      <c r="P49" s="455"/>
      <c r="Q49" s="455"/>
    </row>
    <row r="50" spans="1:17" s="159" customFormat="1" ht="38.25" customHeight="1" x14ac:dyDescent="0.25">
      <c r="A50" s="442" t="s">
        <v>233</v>
      </c>
      <c r="B50" s="442"/>
      <c r="C50" s="442"/>
      <c r="D50" s="442" t="s">
        <v>234</v>
      </c>
      <c r="E50" s="442"/>
      <c r="F50" s="442"/>
      <c r="G50" s="165" t="s">
        <v>322</v>
      </c>
      <c r="H50" s="442" t="s">
        <v>323</v>
      </c>
      <c r="I50" s="442"/>
      <c r="J50" s="442"/>
      <c r="K50" s="442"/>
      <c r="L50" s="442" t="s">
        <v>245</v>
      </c>
      <c r="M50" s="442"/>
      <c r="N50" s="442"/>
      <c r="O50" s="442"/>
      <c r="P50" s="442"/>
      <c r="Q50" s="442"/>
    </row>
    <row r="51" spans="1:17" s="171" customFormat="1" ht="21.75" customHeight="1" x14ac:dyDescent="0.25">
      <c r="A51" s="442" t="s">
        <v>324</v>
      </c>
      <c r="B51" s="442"/>
      <c r="C51" s="442"/>
      <c r="D51" s="405" t="s">
        <v>325</v>
      </c>
      <c r="E51" s="405"/>
      <c r="F51" s="405"/>
      <c r="G51" s="172">
        <v>26</v>
      </c>
      <c r="H51" s="405" t="str">
        <f>'[1]Anexo VI'!F9</f>
        <v>R$ 5,50</v>
      </c>
      <c r="I51" s="405"/>
      <c r="J51" s="405"/>
      <c r="K51" s="405"/>
      <c r="L51" s="450">
        <f>H51*G51</f>
        <v>143</v>
      </c>
      <c r="M51" s="405"/>
      <c r="N51" s="405"/>
      <c r="O51" s="405"/>
      <c r="P51" s="405"/>
      <c r="Q51" s="405"/>
    </row>
    <row r="52" spans="1:17" s="171" customFormat="1" ht="19.5" customHeight="1" x14ac:dyDescent="0.25">
      <c r="A52" s="442"/>
      <c r="B52" s="442"/>
      <c r="C52" s="442"/>
      <c r="D52" s="405" t="s">
        <v>326</v>
      </c>
      <c r="E52" s="405"/>
      <c r="F52" s="405"/>
      <c r="G52" s="172">
        <v>26</v>
      </c>
      <c r="H52" s="405" t="str">
        <f>'[1]Anexo VI'!F10</f>
        <v>R$ 5,50</v>
      </c>
      <c r="I52" s="405"/>
      <c r="J52" s="405"/>
      <c r="K52" s="405"/>
      <c r="L52" s="450">
        <f>H52*G52</f>
        <v>143</v>
      </c>
      <c r="M52" s="405"/>
      <c r="N52" s="405"/>
      <c r="O52" s="405"/>
      <c r="P52" s="405"/>
      <c r="Q52" s="405"/>
    </row>
    <row r="53" spans="1:17" s="171" customFormat="1" ht="15" customHeight="1" x14ac:dyDescent="0.25">
      <c r="A53" s="397" t="s">
        <v>327</v>
      </c>
      <c r="B53" s="397"/>
      <c r="C53" s="397"/>
      <c r="D53" s="397"/>
      <c r="E53" s="397"/>
      <c r="F53" s="397"/>
      <c r="G53" s="397"/>
      <c r="H53" s="397"/>
      <c r="I53" s="397"/>
      <c r="J53" s="397"/>
      <c r="K53" s="397"/>
      <c r="L53" s="447">
        <f>SUM(L51:Q52)</f>
        <v>286</v>
      </c>
      <c r="M53" s="397"/>
      <c r="N53" s="397"/>
      <c r="O53" s="397"/>
      <c r="P53" s="397"/>
      <c r="Q53" s="397"/>
    </row>
    <row r="54" spans="1:17" s="171" customFormat="1" ht="15" customHeight="1" x14ac:dyDescent="0.25">
      <c r="A54" s="397" t="s">
        <v>328</v>
      </c>
      <c r="B54" s="397"/>
      <c r="C54" s="397"/>
      <c r="D54" s="397"/>
      <c r="E54" s="397"/>
      <c r="F54" s="397"/>
      <c r="G54" s="397"/>
      <c r="H54" s="397"/>
      <c r="I54" s="397"/>
      <c r="J54" s="397"/>
      <c r="K54" s="397"/>
      <c r="L54" s="448">
        <f>3111.12*-6%</f>
        <v>-186.66719999999998</v>
      </c>
      <c r="M54" s="448"/>
      <c r="N54" s="448"/>
      <c r="O54" s="448"/>
      <c r="P54" s="448"/>
      <c r="Q54" s="448"/>
    </row>
    <row r="55" spans="1:17" s="171" customFormat="1" ht="15" customHeight="1" x14ac:dyDescent="0.25">
      <c r="A55" s="397" t="s">
        <v>329</v>
      </c>
      <c r="B55" s="397"/>
      <c r="C55" s="397"/>
      <c r="D55" s="397"/>
      <c r="E55" s="397"/>
      <c r="F55" s="397"/>
      <c r="G55" s="397"/>
      <c r="H55" s="397"/>
      <c r="I55" s="397"/>
      <c r="J55" s="397"/>
      <c r="K55" s="397"/>
      <c r="L55" s="448">
        <f>L53+L54</f>
        <v>99.33280000000002</v>
      </c>
      <c r="M55" s="397"/>
      <c r="N55" s="397"/>
      <c r="O55" s="397"/>
      <c r="P55" s="397"/>
      <c r="Q55" s="397"/>
    </row>
    <row r="56" spans="1:17" s="164" customFormat="1" ht="15" customHeight="1" x14ac:dyDescent="0.25">
      <c r="A56" s="405" t="s">
        <v>330</v>
      </c>
      <c r="B56" s="400"/>
      <c r="C56" s="400"/>
      <c r="D56" s="400"/>
      <c r="E56" s="400"/>
      <c r="F56" s="400"/>
      <c r="G56" s="400"/>
      <c r="H56" s="400"/>
      <c r="I56" s="400"/>
      <c r="J56" s="400"/>
      <c r="K56" s="400"/>
      <c r="L56" s="400"/>
      <c r="M56" s="400"/>
      <c r="N56" s="400"/>
      <c r="O56" s="400"/>
      <c r="P56" s="400"/>
      <c r="Q56" s="400"/>
    </row>
    <row r="57" spans="1:17" s="164" customFormat="1" ht="24.95" customHeight="1" x14ac:dyDescent="0.25">
      <c r="A57" s="442" t="s">
        <v>331</v>
      </c>
      <c r="B57" s="442"/>
      <c r="C57" s="442"/>
      <c r="D57" s="442"/>
      <c r="E57" s="442"/>
      <c r="F57" s="442"/>
      <c r="G57" s="442"/>
      <c r="H57" s="442"/>
      <c r="I57" s="442"/>
      <c r="J57" s="442"/>
      <c r="K57" s="442"/>
      <c r="L57" s="442"/>
      <c r="M57" s="442"/>
      <c r="N57" s="442"/>
      <c r="O57" s="442"/>
      <c r="P57" s="442"/>
      <c r="Q57" s="442"/>
    </row>
    <row r="58" spans="1:17" s="171" customFormat="1" ht="5.0999999999999996" customHeight="1" x14ac:dyDescent="0.25">
      <c r="A58" s="425"/>
      <c r="B58" s="426"/>
      <c r="C58" s="426"/>
      <c r="D58" s="426"/>
      <c r="E58" s="426"/>
      <c r="F58" s="426"/>
      <c r="G58" s="426"/>
      <c r="H58" s="426"/>
      <c r="I58" s="426"/>
      <c r="J58" s="426"/>
      <c r="K58" s="426"/>
      <c r="L58" s="426"/>
      <c r="M58" s="426"/>
      <c r="N58" s="426"/>
      <c r="O58" s="426"/>
      <c r="P58" s="426"/>
      <c r="Q58" s="427"/>
    </row>
    <row r="59" spans="1:17" s="171" customFormat="1" ht="15" customHeight="1" x14ac:dyDescent="0.25">
      <c r="A59" s="442" t="s">
        <v>332</v>
      </c>
      <c r="B59" s="442"/>
      <c r="C59" s="442"/>
      <c r="D59" s="449" t="s">
        <v>325</v>
      </c>
      <c r="E59" s="449"/>
      <c r="F59" s="449"/>
      <c r="G59" s="173">
        <f>'[1]Anexo VI'!E15</f>
        <v>15</v>
      </c>
      <c r="H59" s="449" t="str">
        <f>'[1]Anexo VI'!F15</f>
        <v>R$ 5,50</v>
      </c>
      <c r="I59" s="449"/>
      <c r="J59" s="449"/>
      <c r="K59" s="449"/>
      <c r="L59" s="450">
        <f>H59*G59</f>
        <v>82.5</v>
      </c>
      <c r="M59" s="405"/>
      <c r="N59" s="405"/>
      <c r="O59" s="405"/>
      <c r="P59" s="405"/>
      <c r="Q59" s="405"/>
    </row>
    <row r="60" spans="1:17" s="171" customFormat="1" ht="15" customHeight="1" x14ac:dyDescent="0.25">
      <c r="A60" s="442"/>
      <c r="B60" s="442"/>
      <c r="C60" s="442"/>
      <c r="D60" s="449" t="s">
        <v>326</v>
      </c>
      <c r="E60" s="449"/>
      <c r="F60" s="449"/>
      <c r="G60" s="173">
        <f>'[1]Anexo VI'!E16</f>
        <v>15</v>
      </c>
      <c r="H60" s="449" t="str">
        <f>'[1]Anexo VI'!F16</f>
        <v>R$ 5,50</v>
      </c>
      <c r="I60" s="449"/>
      <c r="J60" s="449"/>
      <c r="K60" s="449"/>
      <c r="L60" s="450">
        <f>H60*G60</f>
        <v>82.5</v>
      </c>
      <c r="M60" s="405"/>
      <c r="N60" s="405"/>
      <c r="O60" s="405"/>
      <c r="P60" s="405"/>
      <c r="Q60" s="405"/>
    </row>
    <row r="61" spans="1:17" s="171" customFormat="1" ht="15" customHeight="1" x14ac:dyDescent="0.25">
      <c r="A61" s="397" t="s">
        <v>327</v>
      </c>
      <c r="B61" s="397"/>
      <c r="C61" s="397"/>
      <c r="D61" s="397"/>
      <c r="E61" s="397"/>
      <c r="F61" s="397"/>
      <c r="G61" s="397"/>
      <c r="H61" s="397"/>
      <c r="I61" s="397"/>
      <c r="J61" s="397"/>
      <c r="K61" s="397"/>
      <c r="L61" s="447">
        <f>SUM(L59:Q60)</f>
        <v>165</v>
      </c>
      <c r="M61" s="397"/>
      <c r="N61" s="397"/>
      <c r="O61" s="397"/>
      <c r="P61" s="397"/>
      <c r="Q61" s="397"/>
    </row>
    <row r="62" spans="1:17" s="171" customFormat="1" ht="15" customHeight="1" x14ac:dyDescent="0.25">
      <c r="A62" s="397" t="s">
        <v>328</v>
      </c>
      <c r="B62" s="397"/>
      <c r="C62" s="397"/>
      <c r="D62" s="397"/>
      <c r="E62" s="397"/>
      <c r="F62" s="397"/>
      <c r="G62" s="397"/>
      <c r="H62" s="397"/>
      <c r="I62" s="397"/>
      <c r="J62" s="397"/>
      <c r="K62" s="397"/>
      <c r="L62" s="448">
        <f>2593.73*-6%</f>
        <v>-155.62379999999999</v>
      </c>
      <c r="M62" s="448"/>
      <c r="N62" s="448"/>
      <c r="O62" s="448"/>
      <c r="P62" s="448"/>
      <c r="Q62" s="448"/>
    </row>
    <row r="63" spans="1:17" s="171" customFormat="1" ht="15" customHeight="1" x14ac:dyDescent="0.25">
      <c r="A63" s="397" t="s">
        <v>329</v>
      </c>
      <c r="B63" s="397"/>
      <c r="C63" s="397"/>
      <c r="D63" s="397"/>
      <c r="E63" s="397"/>
      <c r="F63" s="397"/>
      <c r="G63" s="397"/>
      <c r="H63" s="397"/>
      <c r="I63" s="397"/>
      <c r="J63" s="397"/>
      <c r="K63" s="397"/>
      <c r="L63" s="448">
        <f>L61+L62</f>
        <v>9.3762000000000114</v>
      </c>
      <c r="M63" s="397"/>
      <c r="N63" s="397"/>
      <c r="O63" s="397"/>
      <c r="P63" s="397"/>
      <c r="Q63" s="397"/>
    </row>
    <row r="64" spans="1:17" s="164" customFormat="1" ht="15" customHeight="1" x14ac:dyDescent="0.25">
      <c r="A64" s="405" t="s">
        <v>333</v>
      </c>
      <c r="B64" s="400"/>
      <c r="C64" s="400"/>
      <c r="D64" s="400"/>
      <c r="E64" s="400"/>
      <c r="F64" s="400"/>
      <c r="G64" s="400"/>
      <c r="H64" s="400"/>
      <c r="I64" s="400"/>
      <c r="J64" s="400"/>
      <c r="K64" s="400"/>
      <c r="L64" s="400"/>
      <c r="M64" s="400"/>
      <c r="N64" s="400"/>
      <c r="O64" s="400"/>
      <c r="P64" s="400"/>
      <c r="Q64" s="400"/>
    </row>
    <row r="65" spans="1:17" s="164" customFormat="1" ht="24.95" customHeight="1" x14ac:dyDescent="0.25">
      <c r="A65" s="442" t="s">
        <v>334</v>
      </c>
      <c r="B65" s="442"/>
      <c r="C65" s="442"/>
      <c r="D65" s="442"/>
      <c r="E65" s="442"/>
      <c r="F65" s="442"/>
      <c r="G65" s="442"/>
      <c r="H65" s="442"/>
      <c r="I65" s="442"/>
      <c r="J65" s="442"/>
      <c r="K65" s="442"/>
      <c r="L65" s="442"/>
      <c r="M65" s="442"/>
      <c r="N65" s="442"/>
      <c r="O65" s="442"/>
      <c r="P65" s="442"/>
      <c r="Q65" s="442"/>
    </row>
    <row r="66" spans="1:17" ht="5.0999999999999996" customHeight="1" x14ac:dyDescent="0.25">
      <c r="A66" s="443"/>
      <c r="B66" s="443"/>
      <c r="C66" s="443"/>
      <c r="D66" s="443"/>
      <c r="E66" s="443"/>
      <c r="F66" s="443"/>
      <c r="G66" s="443"/>
      <c r="H66" s="443"/>
      <c r="I66" s="443"/>
      <c r="J66" s="443"/>
      <c r="K66" s="443"/>
      <c r="L66" s="443"/>
      <c r="M66" s="443"/>
      <c r="N66" s="443"/>
      <c r="O66" s="443"/>
      <c r="P66" s="443"/>
      <c r="Q66" s="443"/>
    </row>
    <row r="67" spans="1:17" s="174" customFormat="1" ht="16.5" customHeight="1" x14ac:dyDescent="0.25">
      <c r="A67" s="397" t="s">
        <v>335</v>
      </c>
      <c r="B67" s="397"/>
      <c r="C67" s="397"/>
      <c r="D67" s="397"/>
      <c r="E67" s="397"/>
      <c r="F67" s="397"/>
      <c r="G67" s="397"/>
      <c r="H67" s="397"/>
      <c r="I67" s="397"/>
      <c r="J67" s="397"/>
      <c r="K67" s="397"/>
      <c r="L67" s="397"/>
      <c r="M67" s="397"/>
      <c r="N67" s="397"/>
      <c r="O67" s="397"/>
      <c r="P67" s="397"/>
      <c r="Q67" s="397"/>
    </row>
    <row r="68" spans="1:17" s="175" customFormat="1" ht="13.5" customHeight="1" x14ac:dyDescent="0.25">
      <c r="A68" s="444" t="s">
        <v>336</v>
      </c>
      <c r="B68" s="444"/>
      <c r="C68" s="444"/>
      <c r="D68" s="444"/>
      <c r="E68" s="444"/>
      <c r="F68" s="444"/>
      <c r="G68" s="444"/>
      <c r="H68" s="444"/>
      <c r="I68" s="444"/>
      <c r="J68" s="444"/>
      <c r="K68" s="444"/>
      <c r="L68" s="444"/>
      <c r="M68" s="444"/>
      <c r="N68" s="444"/>
      <c r="O68" s="444"/>
      <c r="P68" s="444"/>
      <c r="Q68" s="444"/>
    </row>
    <row r="69" spans="1:17" s="175" customFormat="1" ht="13.5" customHeight="1" x14ac:dyDescent="0.25">
      <c r="A69" s="176" t="s">
        <v>233</v>
      </c>
      <c r="B69" s="445" t="s">
        <v>337</v>
      </c>
      <c r="C69" s="445"/>
      <c r="D69" s="445" t="s">
        <v>234</v>
      </c>
      <c r="E69" s="445"/>
      <c r="F69" s="176" t="s">
        <v>323</v>
      </c>
      <c r="G69" s="445" t="s">
        <v>245</v>
      </c>
      <c r="H69" s="445"/>
      <c r="I69" s="438" t="s">
        <v>338</v>
      </c>
      <c r="J69" s="438"/>
      <c r="K69" s="438"/>
      <c r="L69" s="446" t="s">
        <v>339</v>
      </c>
      <c r="M69" s="446"/>
      <c r="N69" s="446"/>
      <c r="O69" s="446"/>
      <c r="P69" s="446"/>
      <c r="Q69" s="446"/>
    </row>
    <row r="70" spans="1:17" s="175" customFormat="1" ht="13.5" customHeight="1" x14ac:dyDescent="0.25">
      <c r="A70" s="177">
        <v>1</v>
      </c>
      <c r="B70" s="437">
        <v>15</v>
      </c>
      <c r="C70" s="437"/>
      <c r="D70" s="438" t="s">
        <v>340</v>
      </c>
      <c r="E70" s="438"/>
      <c r="F70" s="178">
        <v>45.12</v>
      </c>
      <c r="G70" s="439">
        <f>F70*B70</f>
        <v>676.8</v>
      </c>
      <c r="H70" s="439"/>
      <c r="I70" s="439">
        <v>0</v>
      </c>
      <c r="J70" s="439"/>
      <c r="K70" s="439"/>
      <c r="L70" s="440">
        <f>G70+I70</f>
        <v>676.8</v>
      </c>
      <c r="M70" s="440"/>
      <c r="N70" s="440"/>
      <c r="O70" s="440"/>
      <c r="P70" s="440"/>
      <c r="Q70" s="440"/>
    </row>
    <row r="71" spans="1:17" s="175" customFormat="1" ht="13.5" customHeight="1" x14ac:dyDescent="0.25">
      <c r="A71" s="177">
        <v>2</v>
      </c>
      <c r="B71" s="437">
        <v>22</v>
      </c>
      <c r="C71" s="437"/>
      <c r="D71" s="438" t="s">
        <v>341</v>
      </c>
      <c r="E71" s="438"/>
      <c r="F71" s="178">
        <v>45.12</v>
      </c>
      <c r="G71" s="439">
        <f>F71*B71</f>
        <v>992.64</v>
      </c>
      <c r="H71" s="439"/>
      <c r="I71" s="439">
        <v>0</v>
      </c>
      <c r="J71" s="439"/>
      <c r="K71" s="439"/>
      <c r="L71" s="441">
        <f>G71+I71</f>
        <v>992.64</v>
      </c>
      <c r="M71" s="441"/>
      <c r="N71" s="441"/>
      <c r="O71" s="441"/>
      <c r="P71" s="441"/>
      <c r="Q71" s="441"/>
    </row>
    <row r="72" spans="1:17" s="175" customFormat="1" ht="47.25" customHeight="1" x14ac:dyDescent="0.25">
      <c r="A72" s="434" t="s">
        <v>342</v>
      </c>
      <c r="B72" s="435"/>
      <c r="C72" s="435"/>
      <c r="D72" s="435"/>
      <c r="E72" s="435"/>
      <c r="F72" s="435"/>
      <c r="G72" s="435"/>
      <c r="H72" s="435"/>
      <c r="I72" s="435"/>
      <c r="J72" s="435"/>
      <c r="K72" s="435"/>
      <c r="L72" s="435"/>
      <c r="M72" s="435"/>
      <c r="N72" s="435"/>
      <c r="O72" s="435"/>
      <c r="P72" s="435"/>
      <c r="Q72" s="436"/>
    </row>
    <row r="73" spans="1:17" s="174" customFormat="1" ht="13.5" hidden="1" customHeight="1" x14ac:dyDescent="0.25">
      <c r="A73" s="425" t="s">
        <v>343</v>
      </c>
      <c r="B73" s="426"/>
      <c r="C73" s="426"/>
      <c r="D73" s="426"/>
      <c r="E73" s="426"/>
      <c r="F73" s="426"/>
      <c r="G73" s="426"/>
      <c r="H73" s="426"/>
      <c r="I73" s="426"/>
      <c r="J73" s="426"/>
      <c r="K73" s="426"/>
      <c r="L73" s="426"/>
      <c r="M73" s="426"/>
      <c r="N73" s="426"/>
      <c r="O73" s="426"/>
      <c r="P73" s="426"/>
      <c r="Q73" s="427"/>
    </row>
    <row r="74" spans="1:17" s="171" customFormat="1" ht="28.5" hidden="1" customHeight="1" x14ac:dyDescent="0.25">
      <c r="A74" s="428" t="s">
        <v>344</v>
      </c>
      <c r="B74" s="429"/>
      <c r="C74" s="429"/>
      <c r="D74" s="429"/>
      <c r="E74" s="429"/>
      <c r="F74" s="430" t="s">
        <v>345</v>
      </c>
      <c r="G74" s="430"/>
      <c r="H74" s="430"/>
      <c r="I74" s="430"/>
      <c r="J74" s="430"/>
      <c r="K74" s="430"/>
      <c r="L74" s="430"/>
      <c r="M74" s="430"/>
      <c r="N74" s="430"/>
      <c r="O74" s="430"/>
      <c r="P74" s="430"/>
      <c r="Q74" s="431"/>
    </row>
    <row r="75" spans="1:17" s="174" customFormat="1" ht="43.5" hidden="1" customHeight="1" x14ac:dyDescent="0.25">
      <c r="A75" s="424" t="s">
        <v>346</v>
      </c>
      <c r="B75" s="318"/>
      <c r="C75" s="318"/>
      <c r="D75" s="318"/>
      <c r="E75" s="318"/>
      <c r="F75" s="318"/>
      <c r="G75" s="318"/>
      <c r="H75" s="318"/>
      <c r="I75" s="318"/>
      <c r="J75" s="318"/>
      <c r="K75" s="318"/>
      <c r="L75" s="318"/>
      <c r="M75" s="318"/>
      <c r="N75" s="318"/>
      <c r="O75" s="318"/>
      <c r="P75" s="318"/>
      <c r="Q75" s="319"/>
    </row>
    <row r="76" spans="1:17" s="174" customFormat="1" ht="5.0999999999999996" hidden="1" customHeight="1" x14ac:dyDescent="0.25">
      <c r="A76" s="329"/>
      <c r="B76" s="329"/>
      <c r="C76" s="329"/>
      <c r="D76" s="329"/>
      <c r="E76" s="329"/>
      <c r="F76" s="329"/>
      <c r="G76" s="329"/>
      <c r="H76" s="329"/>
      <c r="I76" s="329"/>
      <c r="J76" s="329"/>
      <c r="K76" s="329"/>
      <c r="L76" s="329"/>
      <c r="M76" s="329"/>
      <c r="N76" s="329"/>
      <c r="O76" s="329"/>
      <c r="P76" s="329"/>
      <c r="Q76" s="329"/>
    </row>
    <row r="77" spans="1:17" s="174" customFormat="1" ht="13.5" hidden="1" customHeight="1" x14ac:dyDescent="0.25">
      <c r="A77" s="425" t="s">
        <v>347</v>
      </c>
      <c r="B77" s="426"/>
      <c r="C77" s="426"/>
      <c r="D77" s="426"/>
      <c r="E77" s="426"/>
      <c r="F77" s="426"/>
      <c r="G77" s="426"/>
      <c r="H77" s="426"/>
      <c r="I77" s="426"/>
      <c r="J77" s="426"/>
      <c r="K77" s="426"/>
      <c r="L77" s="426"/>
      <c r="M77" s="426"/>
      <c r="N77" s="426"/>
      <c r="O77" s="426"/>
      <c r="P77" s="426"/>
      <c r="Q77" s="427"/>
    </row>
    <row r="78" spans="1:17" s="171" customFormat="1" ht="27.75" hidden="1" customHeight="1" x14ac:dyDescent="0.25">
      <c r="A78" s="428" t="s">
        <v>348</v>
      </c>
      <c r="B78" s="429"/>
      <c r="C78" s="429"/>
      <c r="D78" s="429"/>
      <c r="E78" s="429"/>
      <c r="F78" s="430" t="s">
        <v>349</v>
      </c>
      <c r="G78" s="430"/>
      <c r="H78" s="430"/>
      <c r="I78" s="430"/>
      <c r="J78" s="430"/>
      <c r="K78" s="430"/>
      <c r="L78" s="430"/>
      <c r="M78" s="430"/>
      <c r="N78" s="430"/>
      <c r="O78" s="430"/>
      <c r="P78" s="430"/>
      <c r="Q78" s="431"/>
    </row>
    <row r="79" spans="1:17" s="174" customFormat="1" ht="43.5" hidden="1" customHeight="1" x14ac:dyDescent="0.25">
      <c r="A79" s="424" t="s">
        <v>350</v>
      </c>
      <c r="B79" s="318"/>
      <c r="C79" s="318"/>
      <c r="D79" s="318"/>
      <c r="E79" s="318"/>
      <c r="F79" s="318"/>
      <c r="G79" s="318"/>
      <c r="H79" s="318"/>
      <c r="I79" s="318"/>
      <c r="J79" s="318"/>
      <c r="K79" s="318"/>
      <c r="L79" s="318"/>
      <c r="M79" s="318"/>
      <c r="N79" s="318"/>
      <c r="O79" s="318"/>
      <c r="P79" s="318"/>
      <c r="Q79" s="319"/>
    </row>
    <row r="80" spans="1:17" s="174" customFormat="1" ht="5.0999999999999996" hidden="1" customHeight="1" x14ac:dyDescent="0.25">
      <c r="A80" s="329"/>
      <c r="B80" s="329"/>
      <c r="C80" s="329"/>
      <c r="D80" s="329"/>
      <c r="E80" s="329"/>
      <c r="F80" s="329"/>
      <c r="G80" s="329"/>
      <c r="H80" s="329"/>
      <c r="I80" s="329"/>
      <c r="J80" s="329"/>
      <c r="K80" s="329"/>
      <c r="L80" s="329"/>
      <c r="M80" s="329"/>
      <c r="N80" s="329"/>
      <c r="O80" s="329"/>
      <c r="P80" s="329"/>
      <c r="Q80" s="329"/>
    </row>
    <row r="81" spans="1:28" s="174" customFormat="1" ht="13.5" hidden="1" customHeight="1" x14ac:dyDescent="0.25">
      <c r="A81" s="425" t="s">
        <v>351</v>
      </c>
      <c r="B81" s="426"/>
      <c r="C81" s="426"/>
      <c r="D81" s="426"/>
      <c r="E81" s="426"/>
      <c r="F81" s="426"/>
      <c r="G81" s="426"/>
      <c r="H81" s="426"/>
      <c r="I81" s="426"/>
      <c r="J81" s="426"/>
      <c r="K81" s="426"/>
      <c r="L81" s="426"/>
      <c r="M81" s="426"/>
      <c r="N81" s="426"/>
      <c r="O81" s="426"/>
      <c r="P81" s="426"/>
      <c r="Q81" s="427"/>
    </row>
    <row r="82" spans="1:28" s="171" customFormat="1" ht="27.75" hidden="1" customHeight="1" x14ac:dyDescent="0.25">
      <c r="A82" s="428" t="s">
        <v>352</v>
      </c>
      <c r="B82" s="429"/>
      <c r="C82" s="429"/>
      <c r="D82" s="429"/>
      <c r="E82" s="429"/>
      <c r="F82" s="430" t="s">
        <v>353</v>
      </c>
      <c r="G82" s="430"/>
      <c r="H82" s="430"/>
      <c r="I82" s="430"/>
      <c r="J82" s="430"/>
      <c r="K82" s="430"/>
      <c r="L82" s="430"/>
      <c r="M82" s="430"/>
      <c r="N82" s="430"/>
      <c r="O82" s="430"/>
      <c r="P82" s="430"/>
      <c r="Q82" s="431"/>
    </row>
    <row r="83" spans="1:28" s="174" customFormat="1" ht="42.75" hidden="1" customHeight="1" x14ac:dyDescent="0.25">
      <c r="A83" s="424" t="s">
        <v>354</v>
      </c>
      <c r="B83" s="318"/>
      <c r="C83" s="318"/>
      <c r="D83" s="318"/>
      <c r="E83" s="318"/>
      <c r="F83" s="318"/>
      <c r="G83" s="318"/>
      <c r="H83" s="318"/>
      <c r="I83" s="318"/>
      <c r="J83" s="318"/>
      <c r="K83" s="318"/>
      <c r="L83" s="318"/>
      <c r="M83" s="318"/>
      <c r="N83" s="318"/>
      <c r="O83" s="318"/>
      <c r="P83" s="318"/>
      <c r="Q83" s="319"/>
    </row>
    <row r="84" spans="1:28" s="174" customFormat="1" ht="5.0999999999999996" hidden="1" customHeight="1" x14ac:dyDescent="0.25">
      <c r="A84" s="329"/>
      <c r="B84" s="329"/>
      <c r="C84" s="329"/>
      <c r="D84" s="329"/>
      <c r="E84" s="329"/>
      <c r="F84" s="329"/>
      <c r="G84" s="329"/>
      <c r="H84" s="329"/>
      <c r="I84" s="329"/>
      <c r="J84" s="329"/>
      <c r="K84" s="329"/>
      <c r="L84" s="329"/>
      <c r="M84" s="329"/>
      <c r="N84" s="329"/>
      <c r="O84" s="329"/>
      <c r="P84" s="329"/>
      <c r="Q84" s="329"/>
    </row>
    <row r="85" spans="1:28" s="174" customFormat="1" ht="13.5" hidden="1" customHeight="1" x14ac:dyDescent="0.25">
      <c r="A85" s="425" t="s">
        <v>355</v>
      </c>
      <c r="B85" s="426"/>
      <c r="C85" s="426"/>
      <c r="D85" s="426"/>
      <c r="E85" s="426"/>
      <c r="F85" s="426"/>
      <c r="G85" s="426"/>
      <c r="H85" s="426"/>
      <c r="I85" s="426"/>
      <c r="J85" s="426"/>
      <c r="K85" s="426"/>
      <c r="L85" s="426"/>
      <c r="M85" s="426"/>
      <c r="N85" s="426"/>
      <c r="O85" s="426"/>
      <c r="P85" s="426"/>
      <c r="Q85" s="427"/>
    </row>
    <row r="86" spans="1:28" s="171" customFormat="1" ht="27.75" hidden="1" customHeight="1" x14ac:dyDescent="0.25">
      <c r="A86" s="428" t="s">
        <v>356</v>
      </c>
      <c r="B86" s="429"/>
      <c r="C86" s="429"/>
      <c r="D86" s="429"/>
      <c r="E86" s="429"/>
      <c r="F86" s="432" t="s">
        <v>357</v>
      </c>
      <c r="G86" s="432"/>
      <c r="H86" s="432"/>
      <c r="I86" s="432"/>
      <c r="J86" s="432"/>
      <c r="K86" s="432"/>
      <c r="L86" s="432"/>
      <c r="M86" s="432"/>
      <c r="N86" s="432"/>
      <c r="O86" s="432"/>
      <c r="P86" s="432"/>
      <c r="Q86" s="433"/>
    </row>
    <row r="87" spans="1:28" s="174" customFormat="1" ht="41.25" hidden="1" customHeight="1" x14ac:dyDescent="0.25">
      <c r="A87" s="424" t="s">
        <v>358</v>
      </c>
      <c r="B87" s="318"/>
      <c r="C87" s="318"/>
      <c r="D87" s="318"/>
      <c r="E87" s="318"/>
      <c r="F87" s="318"/>
      <c r="G87" s="318"/>
      <c r="H87" s="318"/>
      <c r="I87" s="318"/>
      <c r="J87" s="318"/>
      <c r="K87" s="318"/>
      <c r="L87" s="318"/>
      <c r="M87" s="318"/>
      <c r="N87" s="318"/>
      <c r="O87" s="318"/>
      <c r="P87" s="318"/>
      <c r="Q87" s="319"/>
    </row>
    <row r="88" spans="1:28" s="174" customFormat="1" ht="5.0999999999999996" customHeight="1" x14ac:dyDescent="0.25">
      <c r="A88" s="329"/>
      <c r="B88" s="329"/>
      <c r="C88" s="329"/>
      <c r="D88" s="329"/>
      <c r="E88" s="329"/>
      <c r="F88" s="329"/>
      <c r="G88" s="329"/>
      <c r="H88" s="329"/>
      <c r="I88" s="329"/>
      <c r="J88" s="329"/>
      <c r="K88" s="329"/>
      <c r="L88" s="329"/>
      <c r="M88" s="329"/>
      <c r="N88" s="329"/>
      <c r="O88" s="329"/>
      <c r="P88" s="329"/>
      <c r="Q88" s="329"/>
    </row>
    <row r="89" spans="1:28" s="174" customFormat="1" ht="13.5" customHeight="1" x14ac:dyDescent="0.25">
      <c r="A89" s="425" t="s">
        <v>359</v>
      </c>
      <c r="B89" s="426"/>
      <c r="C89" s="426"/>
      <c r="D89" s="426"/>
      <c r="E89" s="426"/>
      <c r="F89" s="426"/>
      <c r="G89" s="426"/>
      <c r="H89" s="426"/>
      <c r="I89" s="426"/>
      <c r="J89" s="426"/>
      <c r="K89" s="426"/>
      <c r="L89" s="426"/>
      <c r="M89" s="426"/>
      <c r="N89" s="426"/>
      <c r="O89" s="426"/>
      <c r="P89" s="426"/>
      <c r="Q89" s="427"/>
      <c r="R89" s="179"/>
      <c r="S89" s="179"/>
      <c r="T89" s="179"/>
      <c r="U89" s="179"/>
      <c r="V89" s="179"/>
      <c r="W89" s="179"/>
      <c r="X89" s="179"/>
      <c r="Y89" s="179"/>
      <c r="Z89" s="179"/>
      <c r="AA89" s="179"/>
      <c r="AB89" s="179"/>
    </row>
    <row r="90" spans="1:28" s="182" customFormat="1" ht="76.5" customHeight="1" x14ac:dyDescent="0.25">
      <c r="A90" s="180" t="s">
        <v>3</v>
      </c>
      <c r="B90" s="420" t="s">
        <v>360</v>
      </c>
      <c r="C90" s="420"/>
      <c r="D90" s="420"/>
      <c r="E90" s="181">
        <v>8.0000000000000004E-4</v>
      </c>
      <c r="F90" s="421" t="s">
        <v>361</v>
      </c>
      <c r="G90" s="422"/>
      <c r="H90" s="422"/>
      <c r="I90" s="422"/>
      <c r="J90" s="422"/>
      <c r="K90" s="422"/>
      <c r="L90" s="422"/>
      <c r="M90" s="422"/>
      <c r="N90" s="422"/>
      <c r="O90" s="422"/>
      <c r="P90" s="422"/>
      <c r="Q90" s="423"/>
      <c r="R90" s="179"/>
      <c r="S90" s="179"/>
      <c r="T90" s="179"/>
      <c r="U90" s="179"/>
      <c r="V90" s="179"/>
      <c r="W90" s="179"/>
      <c r="X90" s="179"/>
      <c r="Y90" s="179"/>
      <c r="Z90" s="179"/>
      <c r="AA90" s="179"/>
      <c r="AB90" s="179"/>
    </row>
    <row r="91" spans="1:28" s="182" customFormat="1" ht="51.75" customHeight="1" x14ac:dyDescent="0.25">
      <c r="A91" s="180" t="s">
        <v>5</v>
      </c>
      <c r="B91" s="420" t="s">
        <v>362</v>
      </c>
      <c r="C91" s="420"/>
      <c r="D91" s="420"/>
      <c r="E91" s="181">
        <f>E90*8%</f>
        <v>6.4000000000000011E-5</v>
      </c>
      <c r="F91" s="421" t="s">
        <v>363</v>
      </c>
      <c r="G91" s="422"/>
      <c r="H91" s="422"/>
      <c r="I91" s="422"/>
      <c r="J91" s="422"/>
      <c r="K91" s="422"/>
      <c r="L91" s="422"/>
      <c r="M91" s="422"/>
      <c r="N91" s="422"/>
      <c r="O91" s="422"/>
      <c r="P91" s="422"/>
      <c r="Q91" s="423"/>
      <c r="R91" s="179"/>
      <c r="S91" s="179"/>
      <c r="T91" s="179"/>
      <c r="U91" s="179"/>
      <c r="V91" s="179"/>
      <c r="W91" s="179"/>
      <c r="X91" s="179"/>
      <c r="Y91" s="179"/>
      <c r="Z91" s="179"/>
      <c r="AA91" s="179"/>
      <c r="AB91" s="179"/>
    </row>
    <row r="92" spans="1:28" s="182" customFormat="1" ht="169.5" customHeight="1" x14ac:dyDescent="0.25">
      <c r="A92" s="183" t="s">
        <v>7</v>
      </c>
      <c r="B92" s="420" t="s">
        <v>364</v>
      </c>
      <c r="C92" s="420"/>
      <c r="D92" s="420"/>
      <c r="E92" s="181">
        <f>E90*40%</f>
        <v>3.2000000000000003E-4</v>
      </c>
      <c r="F92" s="421" t="s">
        <v>365</v>
      </c>
      <c r="G92" s="422"/>
      <c r="H92" s="422"/>
      <c r="I92" s="422"/>
      <c r="J92" s="422"/>
      <c r="K92" s="422"/>
      <c r="L92" s="422"/>
      <c r="M92" s="422"/>
      <c r="N92" s="422"/>
      <c r="O92" s="422"/>
      <c r="P92" s="422"/>
      <c r="Q92" s="423"/>
      <c r="R92" s="179"/>
      <c r="S92" s="179"/>
      <c r="T92" s="179"/>
      <c r="U92" s="179"/>
      <c r="V92" s="179"/>
      <c r="W92" s="179"/>
      <c r="X92" s="179"/>
      <c r="Y92" s="179"/>
      <c r="Z92" s="179"/>
      <c r="AA92" s="179"/>
      <c r="AB92" s="179"/>
    </row>
    <row r="93" spans="1:28" s="182" customFormat="1" ht="175.5" customHeight="1" x14ac:dyDescent="0.25">
      <c r="A93" s="180" t="s">
        <v>9</v>
      </c>
      <c r="B93" s="402" t="s">
        <v>366</v>
      </c>
      <c r="C93" s="402"/>
      <c r="D93" s="402"/>
      <c r="E93" s="181">
        <v>4.0000000000000002E-4</v>
      </c>
      <c r="F93" s="421" t="s">
        <v>367</v>
      </c>
      <c r="G93" s="422"/>
      <c r="H93" s="422"/>
      <c r="I93" s="422"/>
      <c r="J93" s="422"/>
      <c r="K93" s="422"/>
      <c r="L93" s="422"/>
      <c r="M93" s="422"/>
      <c r="N93" s="422"/>
      <c r="O93" s="422"/>
      <c r="P93" s="422"/>
      <c r="Q93" s="423"/>
      <c r="R93" s="179"/>
      <c r="S93" s="179"/>
      <c r="T93" s="179"/>
      <c r="U93" s="179"/>
      <c r="V93" s="179"/>
      <c r="W93" s="179"/>
      <c r="X93" s="179"/>
      <c r="Y93" s="179"/>
      <c r="Z93" s="179"/>
      <c r="AA93" s="179"/>
      <c r="AB93" s="179"/>
    </row>
    <row r="94" spans="1:28" s="182" customFormat="1" ht="53.25" customHeight="1" x14ac:dyDescent="0.25">
      <c r="A94" s="180" t="s">
        <v>29</v>
      </c>
      <c r="B94" s="402" t="s">
        <v>368</v>
      </c>
      <c r="C94" s="402"/>
      <c r="D94" s="402"/>
      <c r="E94" s="181">
        <f>E93*E45</f>
        <v>1.4120000000000002E-4</v>
      </c>
      <c r="F94" s="421" t="s">
        <v>369</v>
      </c>
      <c r="G94" s="422"/>
      <c r="H94" s="422"/>
      <c r="I94" s="422"/>
      <c r="J94" s="422"/>
      <c r="K94" s="422"/>
      <c r="L94" s="422"/>
      <c r="M94" s="422"/>
      <c r="N94" s="422"/>
      <c r="O94" s="422"/>
      <c r="P94" s="422"/>
      <c r="Q94" s="423"/>
      <c r="R94" s="179"/>
      <c r="S94" s="179"/>
      <c r="T94" s="179"/>
      <c r="U94" s="179"/>
      <c r="V94" s="179"/>
      <c r="W94" s="179"/>
      <c r="X94" s="179"/>
      <c r="Y94" s="179"/>
      <c r="Z94" s="179"/>
      <c r="AA94" s="179"/>
      <c r="AB94" s="179"/>
    </row>
    <row r="95" spans="1:28" s="182" customFormat="1" ht="251.25" customHeight="1" x14ac:dyDescent="0.25">
      <c r="A95" s="184" t="s">
        <v>31</v>
      </c>
      <c r="B95" s="406" t="s">
        <v>370</v>
      </c>
      <c r="C95" s="407"/>
      <c r="D95" s="408"/>
      <c r="E95" s="185">
        <v>0.04</v>
      </c>
      <c r="F95" s="409" t="s">
        <v>371</v>
      </c>
      <c r="G95" s="410"/>
      <c r="H95" s="410"/>
      <c r="I95" s="410"/>
      <c r="J95" s="410"/>
      <c r="K95" s="410"/>
      <c r="L95" s="410"/>
      <c r="M95" s="410"/>
      <c r="N95" s="410"/>
      <c r="O95" s="410"/>
      <c r="P95" s="410"/>
      <c r="Q95" s="411"/>
      <c r="R95" s="179">
        <f>(0.08*0.4)*0.847*(1+5/56+5/56+(1/3*5/56))*100</f>
        <v>3.2750666666666657</v>
      </c>
      <c r="S95" s="179"/>
      <c r="T95" s="179"/>
      <c r="U95" s="179"/>
      <c r="V95" s="179"/>
      <c r="W95" s="179"/>
      <c r="X95" s="179"/>
      <c r="Y95" s="179"/>
      <c r="Z95" s="179"/>
      <c r="AA95" s="179"/>
      <c r="AB95" s="179"/>
    </row>
    <row r="96" spans="1:28" s="182" customFormat="1" ht="32.1" customHeight="1" x14ac:dyDescent="0.25">
      <c r="A96" s="412" t="s">
        <v>298</v>
      </c>
      <c r="B96" s="413"/>
      <c r="C96" s="413"/>
      <c r="D96" s="414"/>
      <c r="E96" s="186">
        <f>SUM(E90:E95)</f>
        <v>4.1725200000000004E-2</v>
      </c>
      <c r="F96" s="415"/>
      <c r="G96" s="416"/>
      <c r="H96" s="416"/>
      <c r="I96" s="416"/>
      <c r="J96" s="416"/>
      <c r="K96" s="416"/>
      <c r="L96" s="416"/>
      <c r="M96" s="416"/>
      <c r="N96" s="416"/>
      <c r="O96" s="416"/>
      <c r="P96" s="416"/>
      <c r="Q96" s="417"/>
      <c r="R96" s="179"/>
      <c r="S96" s="179"/>
      <c r="T96" s="179"/>
      <c r="U96" s="179"/>
      <c r="V96" s="179"/>
      <c r="W96" s="179"/>
      <c r="X96" s="179"/>
      <c r="Y96" s="179"/>
      <c r="Z96" s="179"/>
      <c r="AA96" s="179"/>
      <c r="AB96" s="179"/>
    </row>
    <row r="97" spans="1:17" ht="408.95" customHeight="1" x14ac:dyDescent="0.25">
      <c r="A97" s="418" t="s">
        <v>372</v>
      </c>
      <c r="B97" s="418"/>
      <c r="C97" s="418"/>
      <c r="D97" s="418"/>
      <c r="E97" s="418"/>
      <c r="F97" s="418"/>
      <c r="G97" s="418"/>
      <c r="H97" s="418"/>
      <c r="I97" s="418"/>
      <c r="J97" s="418"/>
      <c r="K97" s="418"/>
      <c r="L97" s="418"/>
      <c r="M97" s="418"/>
      <c r="N97" s="418"/>
      <c r="O97" s="418"/>
      <c r="P97" s="418"/>
      <c r="Q97" s="418"/>
    </row>
    <row r="98" spans="1:17" ht="186" customHeight="1" x14ac:dyDescent="0.25">
      <c r="A98" s="418"/>
      <c r="B98" s="418"/>
      <c r="C98" s="418"/>
      <c r="D98" s="418"/>
      <c r="E98" s="418"/>
      <c r="F98" s="418"/>
      <c r="G98" s="418"/>
      <c r="H98" s="418"/>
      <c r="I98" s="418"/>
      <c r="J98" s="418"/>
      <c r="K98" s="418"/>
      <c r="L98" s="418"/>
      <c r="M98" s="418"/>
      <c r="N98" s="418"/>
      <c r="O98" s="418"/>
      <c r="P98" s="418"/>
      <c r="Q98" s="418"/>
    </row>
    <row r="99" spans="1:17" ht="15" customHeight="1" x14ac:dyDescent="0.25">
      <c r="A99" s="419" t="s">
        <v>373</v>
      </c>
      <c r="B99" s="419"/>
      <c r="C99" s="419"/>
      <c r="D99" s="419"/>
      <c r="E99" s="419"/>
      <c r="F99" s="419"/>
      <c r="G99" s="419"/>
      <c r="H99" s="419"/>
      <c r="I99" s="419"/>
      <c r="J99" s="419"/>
      <c r="K99" s="419"/>
      <c r="L99" s="419"/>
      <c r="M99" s="419"/>
      <c r="N99" s="419"/>
      <c r="O99" s="419"/>
      <c r="P99" s="419"/>
      <c r="Q99" s="419"/>
    </row>
    <row r="100" spans="1:17" ht="15" customHeight="1" x14ac:dyDescent="0.25">
      <c r="A100" s="397" t="s">
        <v>374</v>
      </c>
      <c r="B100" s="397"/>
      <c r="C100" s="397"/>
      <c r="D100" s="397"/>
      <c r="E100" s="397"/>
      <c r="F100" s="397"/>
      <c r="G100" s="397"/>
      <c r="H100" s="397"/>
      <c r="I100" s="397"/>
      <c r="J100" s="397"/>
      <c r="K100" s="397"/>
      <c r="L100" s="397"/>
      <c r="M100" s="397"/>
      <c r="N100" s="397"/>
      <c r="O100" s="397"/>
      <c r="P100" s="397"/>
      <c r="Q100" s="397"/>
    </row>
    <row r="101" spans="1:17" s="187" customFormat="1" ht="117" customHeight="1" x14ac:dyDescent="0.25">
      <c r="A101" s="180" t="s">
        <v>3</v>
      </c>
      <c r="B101" s="402" t="s">
        <v>375</v>
      </c>
      <c r="C101" s="402"/>
      <c r="D101" s="402"/>
      <c r="E101" s="181">
        <v>9.2999999999999992E-3</v>
      </c>
      <c r="F101" s="401" t="s">
        <v>376</v>
      </c>
      <c r="G101" s="401"/>
      <c r="H101" s="401"/>
      <c r="I101" s="401"/>
      <c r="J101" s="401"/>
      <c r="K101" s="401"/>
      <c r="L101" s="401"/>
      <c r="M101" s="401"/>
      <c r="N101" s="401"/>
      <c r="O101" s="401"/>
      <c r="P101" s="401"/>
      <c r="Q101" s="401"/>
    </row>
    <row r="102" spans="1:17" s="187" customFormat="1" ht="84.75" customHeight="1" x14ac:dyDescent="0.25">
      <c r="A102" s="180" t="s">
        <v>5</v>
      </c>
      <c r="B102" s="403" t="s">
        <v>377</v>
      </c>
      <c r="C102" s="403"/>
      <c r="D102" s="403"/>
      <c r="E102" s="181">
        <v>2.0000000000000001E-4</v>
      </c>
      <c r="F102" s="404" t="s">
        <v>378</v>
      </c>
      <c r="G102" s="404"/>
      <c r="H102" s="404"/>
      <c r="I102" s="404"/>
      <c r="J102" s="404"/>
      <c r="K102" s="404"/>
      <c r="L102" s="404"/>
      <c r="M102" s="404"/>
      <c r="N102" s="404"/>
      <c r="O102" s="404"/>
      <c r="P102" s="404"/>
      <c r="Q102" s="404"/>
    </row>
    <row r="103" spans="1:17" ht="93" customHeight="1" x14ac:dyDescent="0.25">
      <c r="A103" s="162" t="s">
        <v>7</v>
      </c>
      <c r="B103" s="405" t="s">
        <v>379</v>
      </c>
      <c r="C103" s="405"/>
      <c r="D103" s="405"/>
      <c r="E103" s="163">
        <v>2.0000000000000001E-4</v>
      </c>
      <c r="F103" s="401" t="s">
        <v>380</v>
      </c>
      <c r="G103" s="401"/>
      <c r="H103" s="401"/>
      <c r="I103" s="401"/>
      <c r="J103" s="401"/>
      <c r="K103" s="401"/>
      <c r="L103" s="401"/>
      <c r="M103" s="401"/>
      <c r="N103" s="401"/>
      <c r="O103" s="401"/>
      <c r="P103" s="401"/>
      <c r="Q103" s="401"/>
    </row>
    <row r="104" spans="1:17" ht="79.5" customHeight="1" x14ac:dyDescent="0.25">
      <c r="A104" s="162" t="s">
        <v>9</v>
      </c>
      <c r="B104" s="400" t="s">
        <v>381</v>
      </c>
      <c r="C104" s="400"/>
      <c r="D104" s="400"/>
      <c r="E104" s="163">
        <v>2.0000000000000001E-4</v>
      </c>
      <c r="F104" s="401" t="s">
        <v>382</v>
      </c>
      <c r="G104" s="401"/>
      <c r="H104" s="401"/>
      <c r="I104" s="401"/>
      <c r="J104" s="401"/>
      <c r="K104" s="401"/>
      <c r="L104" s="401"/>
      <c r="M104" s="401"/>
      <c r="N104" s="401"/>
      <c r="O104" s="401"/>
      <c r="P104" s="401"/>
      <c r="Q104" s="401"/>
    </row>
    <row r="105" spans="1:17" ht="102.75" customHeight="1" x14ac:dyDescent="0.25">
      <c r="A105" s="162" t="s">
        <v>29</v>
      </c>
      <c r="B105" s="400" t="s">
        <v>383</v>
      </c>
      <c r="C105" s="400"/>
      <c r="D105" s="400"/>
      <c r="E105" s="163">
        <v>2.0000000000000001E-4</v>
      </c>
      <c r="F105" s="401" t="s">
        <v>384</v>
      </c>
      <c r="G105" s="401"/>
      <c r="H105" s="401"/>
      <c r="I105" s="401"/>
      <c r="J105" s="401"/>
      <c r="K105" s="401"/>
      <c r="L105" s="401"/>
      <c r="M105" s="401"/>
      <c r="N105" s="401"/>
      <c r="O105" s="401"/>
      <c r="P105" s="401"/>
      <c r="Q105" s="401"/>
    </row>
    <row r="106" spans="1:17" s="187" customFormat="1" ht="84.75" customHeight="1" x14ac:dyDescent="0.25">
      <c r="A106" s="180" t="s">
        <v>31</v>
      </c>
      <c r="B106" s="402" t="s">
        <v>385</v>
      </c>
      <c r="C106" s="403"/>
      <c r="D106" s="403"/>
      <c r="E106" s="181">
        <v>0</v>
      </c>
      <c r="F106" s="404" t="s">
        <v>378</v>
      </c>
      <c r="G106" s="404"/>
      <c r="H106" s="404"/>
      <c r="I106" s="404"/>
      <c r="J106" s="404"/>
      <c r="K106" s="404"/>
      <c r="L106" s="404"/>
      <c r="M106" s="404"/>
      <c r="N106" s="404"/>
      <c r="O106" s="404"/>
      <c r="P106" s="404"/>
      <c r="Q106" s="404"/>
    </row>
    <row r="107" spans="1:17" ht="15" customHeight="1" x14ac:dyDescent="0.25">
      <c r="A107" s="396" t="s">
        <v>386</v>
      </c>
      <c r="B107" s="396"/>
      <c r="C107" s="396"/>
      <c r="D107" s="396"/>
      <c r="E107" s="166">
        <f>SUM(E101:E106)</f>
        <v>1.0100000000000001E-2</v>
      </c>
      <c r="F107" s="397" t="s">
        <v>387</v>
      </c>
      <c r="G107" s="397"/>
      <c r="H107" s="397"/>
      <c r="I107" s="397"/>
      <c r="J107" s="397"/>
      <c r="K107" s="397"/>
      <c r="L107" s="397"/>
      <c r="M107" s="397"/>
      <c r="N107" s="397"/>
      <c r="O107" s="397"/>
      <c r="P107" s="397"/>
      <c r="Q107" s="397"/>
    </row>
    <row r="108" spans="1:17" ht="13.5" customHeight="1" x14ac:dyDescent="0.25">
      <c r="A108" s="329"/>
      <c r="B108" s="329"/>
      <c r="C108" s="329"/>
      <c r="D108" s="329"/>
      <c r="E108" s="329"/>
      <c r="F108" s="329"/>
      <c r="G108" s="329"/>
      <c r="H108" s="329"/>
      <c r="I108" s="329"/>
      <c r="J108" s="329"/>
      <c r="K108" s="329"/>
      <c r="L108" s="329"/>
      <c r="M108" s="329"/>
      <c r="N108" s="329"/>
      <c r="O108" s="329"/>
      <c r="P108" s="329"/>
    </row>
    <row r="109" spans="1:17" ht="15" hidden="1" customHeight="1" x14ac:dyDescent="0.25">
      <c r="A109" s="331" t="s">
        <v>388</v>
      </c>
      <c r="B109" s="331"/>
      <c r="C109" s="331"/>
      <c r="D109" s="331"/>
      <c r="E109" s="331"/>
      <c r="F109" s="331"/>
      <c r="G109" s="331"/>
      <c r="H109" s="331"/>
      <c r="I109" s="331"/>
      <c r="J109" s="331"/>
      <c r="K109" s="331"/>
      <c r="L109" s="331"/>
      <c r="M109" s="331"/>
      <c r="N109" s="331"/>
      <c r="O109" s="331"/>
      <c r="P109" s="331"/>
      <c r="Q109" s="331"/>
    </row>
    <row r="110" spans="1:17" ht="4.5" hidden="1" customHeight="1" x14ac:dyDescent="0.25">
      <c r="A110" s="398"/>
      <c r="B110" s="399"/>
      <c r="C110" s="399"/>
      <c r="D110" s="399"/>
      <c r="E110" s="399"/>
      <c r="F110" s="399"/>
      <c r="G110" s="399"/>
      <c r="H110" s="399"/>
      <c r="I110" s="399"/>
      <c r="J110" s="399"/>
      <c r="K110" s="399"/>
      <c r="L110" s="399"/>
      <c r="M110" s="399"/>
      <c r="N110" s="399"/>
      <c r="O110" s="399"/>
      <c r="P110" s="399"/>
      <c r="Q110" s="399"/>
    </row>
    <row r="111" spans="1:17" ht="54" hidden="1" customHeight="1" x14ac:dyDescent="0.25">
      <c r="A111" s="388" t="s">
        <v>389</v>
      </c>
      <c r="B111" s="389"/>
      <c r="C111" s="389"/>
      <c r="D111" s="389"/>
      <c r="E111" s="389"/>
      <c r="F111" s="389"/>
      <c r="G111" s="389"/>
      <c r="H111" s="389"/>
      <c r="I111" s="389"/>
      <c r="J111" s="389"/>
      <c r="K111" s="389"/>
      <c r="L111" s="389"/>
      <c r="M111" s="389"/>
      <c r="N111" s="389"/>
      <c r="O111" s="389"/>
      <c r="P111" s="389"/>
      <c r="Q111" s="389"/>
    </row>
    <row r="112" spans="1:17" ht="37.5" hidden="1" customHeight="1" x14ac:dyDescent="0.25">
      <c r="A112" s="388" t="s">
        <v>390</v>
      </c>
      <c r="B112" s="389"/>
      <c r="C112" s="389"/>
      <c r="D112" s="389"/>
      <c r="E112" s="389"/>
      <c r="F112" s="389"/>
      <c r="G112" s="389"/>
      <c r="H112" s="389"/>
      <c r="I112" s="389"/>
      <c r="J112" s="389"/>
      <c r="K112" s="389"/>
      <c r="L112" s="389"/>
      <c r="M112" s="389"/>
      <c r="N112" s="389"/>
      <c r="O112" s="389"/>
      <c r="P112" s="389"/>
      <c r="Q112" s="389"/>
    </row>
    <row r="113" spans="1:17" ht="37.5" hidden="1" customHeight="1" x14ac:dyDescent="0.25">
      <c r="A113" s="388" t="s">
        <v>391</v>
      </c>
      <c r="B113" s="389"/>
      <c r="C113" s="389"/>
      <c r="D113" s="389"/>
      <c r="E113" s="389"/>
      <c r="F113" s="389"/>
      <c r="G113" s="389"/>
      <c r="H113" s="389"/>
      <c r="I113" s="389"/>
      <c r="J113" s="389"/>
      <c r="K113" s="389"/>
      <c r="L113" s="389"/>
      <c r="M113" s="389"/>
      <c r="N113" s="389"/>
      <c r="O113" s="389"/>
      <c r="P113" s="389"/>
      <c r="Q113" s="389"/>
    </row>
    <row r="114" spans="1:17" ht="66" hidden="1" customHeight="1" x14ac:dyDescent="0.25">
      <c r="A114" s="390" t="s">
        <v>392</v>
      </c>
      <c r="B114" s="391"/>
      <c r="C114" s="391"/>
      <c r="D114" s="391"/>
      <c r="E114" s="391"/>
      <c r="F114" s="391"/>
      <c r="G114" s="391"/>
      <c r="H114" s="391"/>
      <c r="I114" s="391"/>
      <c r="J114" s="391"/>
      <c r="K114" s="391"/>
      <c r="L114" s="391"/>
      <c r="M114" s="391"/>
      <c r="N114" s="391"/>
      <c r="O114" s="391"/>
      <c r="P114" s="391"/>
      <c r="Q114" s="391"/>
    </row>
    <row r="115" spans="1:17" ht="26.25" customHeight="1" x14ac:dyDescent="0.25">
      <c r="A115" s="392" t="s">
        <v>393</v>
      </c>
      <c r="B115" s="393"/>
      <c r="C115" s="393"/>
      <c r="D115" s="393"/>
      <c r="E115" s="393"/>
      <c r="F115" s="393"/>
      <c r="G115" s="393"/>
      <c r="H115" s="393"/>
      <c r="I115" s="393"/>
      <c r="J115" s="393"/>
      <c r="K115" s="393"/>
      <c r="L115" s="393"/>
      <c r="M115" s="393"/>
      <c r="N115" s="393"/>
      <c r="O115" s="393"/>
      <c r="P115" s="393"/>
      <c r="Q115" s="393"/>
    </row>
    <row r="116" spans="1:17" ht="18.75" hidden="1" customHeight="1" x14ac:dyDescent="0.25">
      <c r="A116" s="365" t="s">
        <v>394</v>
      </c>
      <c r="B116" s="365"/>
      <c r="C116" s="365"/>
      <c r="D116" s="365"/>
      <c r="E116" s="365"/>
      <c r="F116" s="365"/>
      <c r="G116" s="365"/>
      <c r="H116" s="365"/>
      <c r="I116" s="365"/>
      <c r="J116" s="365"/>
      <c r="K116" s="365"/>
      <c r="L116" s="365"/>
      <c r="M116" s="365"/>
      <c r="N116" s="365"/>
      <c r="O116" s="365"/>
      <c r="P116" s="365"/>
      <c r="Q116" s="365"/>
    </row>
    <row r="117" spans="1:17" s="189" customFormat="1" ht="18.75" hidden="1" customHeight="1" x14ac:dyDescent="0.25">
      <c r="A117" s="394" t="s">
        <v>395</v>
      </c>
      <c r="B117" s="395"/>
      <c r="C117" s="395"/>
      <c r="D117" s="395"/>
      <c r="E117" s="395"/>
      <c r="F117" s="395"/>
      <c r="G117" s="395"/>
      <c r="H117" s="395"/>
      <c r="I117" s="395"/>
      <c r="J117" s="395"/>
      <c r="K117" s="395"/>
      <c r="L117" s="395"/>
      <c r="M117" s="395"/>
      <c r="N117" s="395"/>
      <c r="O117" s="395"/>
      <c r="P117" s="395"/>
      <c r="Q117" s="395"/>
    </row>
    <row r="118" spans="1:17" s="191" customFormat="1" ht="78.75" hidden="1" customHeight="1" x14ac:dyDescent="0.25">
      <c r="A118" s="167" t="s">
        <v>127</v>
      </c>
      <c r="B118" s="383" t="s">
        <v>396</v>
      </c>
      <c r="C118" s="383"/>
      <c r="D118" s="383"/>
      <c r="E118" s="190" t="s">
        <v>397</v>
      </c>
      <c r="F118" s="167" t="s">
        <v>398</v>
      </c>
      <c r="G118" s="167" t="s">
        <v>399</v>
      </c>
      <c r="H118" s="384" t="s">
        <v>400</v>
      </c>
      <c r="I118" s="384"/>
      <c r="J118" s="383" t="s">
        <v>401</v>
      </c>
      <c r="K118" s="383"/>
      <c r="L118" s="383"/>
      <c r="M118" s="385" t="s">
        <v>402</v>
      </c>
      <c r="N118" s="386"/>
      <c r="O118" s="386"/>
      <c r="P118" s="386"/>
      <c r="Q118" s="387"/>
    </row>
    <row r="119" spans="1:17" s="196" customFormat="1" ht="15" hidden="1" customHeight="1" x14ac:dyDescent="0.25">
      <c r="A119" s="192">
        <v>1</v>
      </c>
      <c r="B119" s="368" t="s">
        <v>403</v>
      </c>
      <c r="C119" s="369"/>
      <c r="D119" s="370"/>
      <c r="E119" s="193" t="s">
        <v>404</v>
      </c>
      <c r="F119" s="194">
        <v>2</v>
      </c>
      <c r="G119" s="195">
        <v>12</v>
      </c>
      <c r="H119" s="351">
        <v>50</v>
      </c>
      <c r="I119" s="352"/>
      <c r="J119" s="351">
        <f>H119*F119</f>
        <v>100</v>
      </c>
      <c r="K119" s="358"/>
      <c r="L119" s="352"/>
      <c r="M119" s="371">
        <f>J119/G119</f>
        <v>8.3333333333333339</v>
      </c>
      <c r="N119" s="372"/>
      <c r="O119" s="372"/>
      <c r="P119" s="372"/>
      <c r="Q119" s="373"/>
    </row>
    <row r="120" spans="1:17" s="196" customFormat="1" ht="15" hidden="1" customHeight="1" x14ac:dyDescent="0.25">
      <c r="A120" s="192">
        <v>2</v>
      </c>
      <c r="B120" s="368" t="s">
        <v>405</v>
      </c>
      <c r="C120" s="369" t="s">
        <v>405</v>
      </c>
      <c r="D120" s="370" t="s">
        <v>405</v>
      </c>
      <c r="E120" s="193" t="s">
        <v>406</v>
      </c>
      <c r="F120" s="194">
        <v>4</v>
      </c>
      <c r="G120" s="195">
        <v>12</v>
      </c>
      <c r="H120" s="351">
        <v>68.89</v>
      </c>
      <c r="I120" s="352">
        <v>68.89</v>
      </c>
      <c r="J120" s="351">
        <f t="shared" ref="J120:J126" si="0">H120*F120</f>
        <v>275.56</v>
      </c>
      <c r="K120" s="358"/>
      <c r="L120" s="352"/>
      <c r="M120" s="371">
        <f t="shared" ref="M120:M126" si="1">J120/G120</f>
        <v>22.963333333333335</v>
      </c>
      <c r="N120" s="372"/>
      <c r="O120" s="372"/>
      <c r="P120" s="372"/>
      <c r="Q120" s="373"/>
    </row>
    <row r="121" spans="1:17" s="196" customFormat="1" ht="15" hidden="1" customHeight="1" x14ac:dyDescent="0.25">
      <c r="A121" s="192">
        <v>3</v>
      </c>
      <c r="B121" s="368" t="s">
        <v>407</v>
      </c>
      <c r="C121" s="369" t="s">
        <v>407</v>
      </c>
      <c r="D121" s="370" t="s">
        <v>407</v>
      </c>
      <c r="E121" s="193" t="s">
        <v>406</v>
      </c>
      <c r="F121" s="194">
        <v>6</v>
      </c>
      <c r="G121" s="195">
        <v>12</v>
      </c>
      <c r="H121" s="351">
        <v>40</v>
      </c>
      <c r="I121" s="352">
        <v>40</v>
      </c>
      <c r="J121" s="351">
        <f t="shared" si="0"/>
        <v>240</v>
      </c>
      <c r="K121" s="358"/>
      <c r="L121" s="352"/>
      <c r="M121" s="371">
        <f t="shared" si="1"/>
        <v>20</v>
      </c>
      <c r="N121" s="372"/>
      <c r="O121" s="372"/>
      <c r="P121" s="372"/>
      <c r="Q121" s="373"/>
    </row>
    <row r="122" spans="1:17" s="196" customFormat="1" ht="15" hidden="1" customHeight="1" x14ac:dyDescent="0.25">
      <c r="A122" s="192">
        <v>4</v>
      </c>
      <c r="B122" s="368" t="s">
        <v>408</v>
      </c>
      <c r="C122" s="369" t="s">
        <v>408</v>
      </c>
      <c r="D122" s="370" t="s">
        <v>408</v>
      </c>
      <c r="E122" s="193" t="s">
        <v>406</v>
      </c>
      <c r="F122" s="194">
        <v>1</v>
      </c>
      <c r="G122" s="195">
        <v>12</v>
      </c>
      <c r="H122" s="351">
        <v>80</v>
      </c>
      <c r="I122" s="352">
        <v>80</v>
      </c>
      <c r="J122" s="351">
        <f t="shared" si="0"/>
        <v>80</v>
      </c>
      <c r="K122" s="358"/>
      <c r="L122" s="352"/>
      <c r="M122" s="371">
        <f t="shared" si="1"/>
        <v>6.666666666666667</v>
      </c>
      <c r="N122" s="372"/>
      <c r="O122" s="372"/>
      <c r="P122" s="372"/>
      <c r="Q122" s="373"/>
    </row>
    <row r="123" spans="1:17" s="196" customFormat="1" ht="15" hidden="1" customHeight="1" x14ac:dyDescent="0.25">
      <c r="A123" s="192">
        <v>5</v>
      </c>
      <c r="B123" s="368" t="s">
        <v>409</v>
      </c>
      <c r="C123" s="369" t="s">
        <v>409</v>
      </c>
      <c r="D123" s="370" t="s">
        <v>409</v>
      </c>
      <c r="E123" s="193" t="s">
        <v>406</v>
      </c>
      <c r="F123" s="194">
        <v>1</v>
      </c>
      <c r="G123" s="195">
        <v>12</v>
      </c>
      <c r="H123" s="351">
        <v>15</v>
      </c>
      <c r="I123" s="352">
        <v>15</v>
      </c>
      <c r="J123" s="351">
        <f t="shared" si="0"/>
        <v>15</v>
      </c>
      <c r="K123" s="358"/>
      <c r="L123" s="352"/>
      <c r="M123" s="371">
        <f t="shared" si="1"/>
        <v>1.25</v>
      </c>
      <c r="N123" s="372"/>
      <c r="O123" s="372"/>
      <c r="P123" s="372"/>
      <c r="Q123" s="373"/>
    </row>
    <row r="124" spans="1:17" s="196" customFormat="1" ht="15" hidden="1" customHeight="1" x14ac:dyDescent="0.25">
      <c r="A124" s="192">
        <v>6</v>
      </c>
      <c r="B124" s="368" t="s">
        <v>410</v>
      </c>
      <c r="C124" s="369" t="s">
        <v>410</v>
      </c>
      <c r="D124" s="370" t="s">
        <v>410</v>
      </c>
      <c r="E124" s="193" t="s">
        <v>406</v>
      </c>
      <c r="F124" s="194">
        <v>2</v>
      </c>
      <c r="G124" s="195">
        <v>12</v>
      </c>
      <c r="H124" s="351">
        <v>22</v>
      </c>
      <c r="I124" s="352">
        <v>22</v>
      </c>
      <c r="J124" s="351">
        <f t="shared" si="0"/>
        <v>44</v>
      </c>
      <c r="K124" s="358"/>
      <c r="L124" s="352"/>
      <c r="M124" s="371">
        <f t="shared" si="1"/>
        <v>3.6666666666666665</v>
      </c>
      <c r="N124" s="372"/>
      <c r="O124" s="372"/>
      <c r="P124" s="372"/>
      <c r="Q124" s="373"/>
    </row>
    <row r="125" spans="1:17" s="196" customFormat="1" ht="15" hidden="1" customHeight="1" x14ac:dyDescent="0.25">
      <c r="A125" s="192">
        <v>7</v>
      </c>
      <c r="B125" s="368" t="s">
        <v>411</v>
      </c>
      <c r="C125" s="369" t="s">
        <v>411</v>
      </c>
      <c r="D125" s="370" t="s">
        <v>411</v>
      </c>
      <c r="E125" s="193" t="s">
        <v>404</v>
      </c>
      <c r="F125" s="194">
        <v>6</v>
      </c>
      <c r="G125" s="195">
        <v>12</v>
      </c>
      <c r="H125" s="351">
        <v>5.57</v>
      </c>
      <c r="I125" s="352">
        <v>5.57</v>
      </c>
      <c r="J125" s="351">
        <f t="shared" si="0"/>
        <v>33.42</v>
      </c>
      <c r="K125" s="358"/>
      <c r="L125" s="352"/>
      <c r="M125" s="371">
        <f t="shared" si="1"/>
        <v>2.7850000000000001</v>
      </c>
      <c r="N125" s="372"/>
      <c r="O125" s="372"/>
      <c r="P125" s="372"/>
      <c r="Q125" s="373"/>
    </row>
    <row r="126" spans="1:17" s="196" customFormat="1" ht="15" hidden="1" customHeight="1" x14ac:dyDescent="0.25">
      <c r="A126" s="192">
        <v>8</v>
      </c>
      <c r="B126" s="368" t="s">
        <v>412</v>
      </c>
      <c r="C126" s="369" t="s">
        <v>412</v>
      </c>
      <c r="D126" s="370" t="s">
        <v>412</v>
      </c>
      <c r="E126" s="193" t="s">
        <v>406</v>
      </c>
      <c r="F126" s="194">
        <v>2</v>
      </c>
      <c r="G126" s="195">
        <v>12</v>
      </c>
      <c r="H126" s="351">
        <v>22</v>
      </c>
      <c r="I126" s="352">
        <v>22</v>
      </c>
      <c r="J126" s="351">
        <f t="shared" si="0"/>
        <v>44</v>
      </c>
      <c r="K126" s="358"/>
      <c r="L126" s="352"/>
      <c r="M126" s="371">
        <f t="shared" si="1"/>
        <v>3.6666666666666665</v>
      </c>
      <c r="N126" s="372"/>
      <c r="O126" s="372"/>
      <c r="P126" s="372"/>
      <c r="Q126" s="373"/>
    </row>
    <row r="127" spans="1:17" s="189" customFormat="1" ht="15.75" hidden="1" x14ac:dyDescent="0.25">
      <c r="A127" s="374" t="s">
        <v>413</v>
      </c>
      <c r="B127" s="375"/>
      <c r="C127" s="375"/>
      <c r="D127" s="375"/>
      <c r="E127" s="375"/>
      <c r="F127" s="375"/>
      <c r="G127" s="376"/>
      <c r="H127" s="374"/>
      <c r="I127" s="376"/>
      <c r="J127" s="377">
        <f>SUM(J119:K126)</f>
        <v>831.9799999999999</v>
      </c>
      <c r="K127" s="378"/>
      <c r="L127" s="379"/>
      <c r="M127" s="380">
        <f>SUM(M119:P126)-0.03</f>
        <v>69.301666666666662</v>
      </c>
      <c r="N127" s="381"/>
      <c r="O127" s="381"/>
      <c r="P127" s="381"/>
      <c r="Q127" s="382"/>
    </row>
    <row r="128" spans="1:17" ht="5.0999999999999996" hidden="1" customHeight="1" x14ac:dyDescent="0.25">
      <c r="A128" s="363"/>
      <c r="B128" s="363"/>
      <c r="C128" s="363"/>
      <c r="D128" s="363"/>
      <c r="E128" s="363"/>
      <c r="F128" s="363"/>
      <c r="G128" s="363"/>
      <c r="H128" s="363"/>
      <c r="I128" s="363"/>
      <c r="J128" s="363"/>
      <c r="K128" s="363"/>
      <c r="L128" s="363"/>
      <c r="M128" s="363"/>
      <c r="N128" s="363"/>
      <c r="O128" s="363"/>
      <c r="P128" s="363"/>
      <c r="Q128" s="187"/>
    </row>
    <row r="129" spans="1:17" ht="31.5" hidden="1" customHeight="1" x14ac:dyDescent="0.25">
      <c r="A129" s="330" t="s">
        <v>414</v>
      </c>
      <c r="B129" s="331"/>
      <c r="C129" s="331"/>
      <c r="D129" s="331"/>
      <c r="E129" s="331"/>
      <c r="F129" s="331"/>
      <c r="G129" s="331"/>
      <c r="H129" s="331"/>
      <c r="I129" s="331"/>
      <c r="J129" s="331"/>
      <c r="K129" s="331"/>
      <c r="L129" s="331"/>
      <c r="M129" s="331"/>
      <c r="N129" s="331"/>
      <c r="O129" s="331"/>
      <c r="P129" s="331"/>
      <c r="Q129" s="331"/>
    </row>
    <row r="130" spans="1:17" ht="6" hidden="1" customHeight="1" x14ac:dyDescent="0.25">
      <c r="A130" s="364" t="s">
        <v>415</v>
      </c>
      <c r="B130" s="365"/>
      <c r="C130" s="365"/>
      <c r="D130" s="365"/>
      <c r="E130" s="365"/>
      <c r="F130" s="365"/>
      <c r="G130" s="365"/>
      <c r="H130" s="365"/>
      <c r="I130" s="365"/>
      <c r="J130" s="365"/>
      <c r="K130" s="365"/>
      <c r="L130" s="365"/>
      <c r="M130" s="365"/>
      <c r="N130" s="365"/>
      <c r="O130" s="365"/>
      <c r="P130" s="365"/>
    </row>
    <row r="131" spans="1:17" ht="6" hidden="1" customHeight="1" x14ac:dyDescent="0.25">
      <c r="A131" s="330" t="s">
        <v>416</v>
      </c>
      <c r="B131" s="331"/>
      <c r="C131" s="331"/>
      <c r="D131" s="331"/>
      <c r="E131" s="331"/>
      <c r="F131" s="331"/>
      <c r="G131" s="331"/>
      <c r="H131" s="331"/>
      <c r="I131" s="331"/>
      <c r="J131" s="331"/>
      <c r="K131" s="331"/>
      <c r="L131" s="331"/>
      <c r="M131" s="331"/>
      <c r="N131" s="331"/>
      <c r="O131" s="331"/>
      <c r="P131" s="331"/>
    </row>
    <row r="132" spans="1:17" hidden="1" x14ac:dyDescent="0.25"/>
    <row r="133" spans="1:17" ht="5.0999999999999996" hidden="1" customHeight="1" x14ac:dyDescent="0.25">
      <c r="A133" s="366"/>
      <c r="B133" s="366"/>
      <c r="C133" s="366"/>
      <c r="D133" s="366"/>
      <c r="E133" s="366"/>
      <c r="F133" s="366"/>
      <c r="G133" s="366"/>
      <c r="H133" s="366"/>
      <c r="I133" s="366"/>
      <c r="J133" s="366"/>
      <c r="K133" s="366"/>
      <c r="L133" s="366"/>
      <c r="M133" s="366"/>
      <c r="N133" s="366"/>
      <c r="O133" s="366"/>
      <c r="P133" s="366"/>
    </row>
    <row r="134" spans="1:17" s="164" customFormat="1" ht="24.95" hidden="1" customHeight="1" x14ac:dyDescent="0.25">
      <c r="A134" s="367" t="s">
        <v>417</v>
      </c>
      <c r="B134" s="364"/>
      <c r="C134" s="364"/>
      <c r="D134" s="364"/>
      <c r="E134" s="364"/>
      <c r="F134" s="364"/>
      <c r="G134" s="364"/>
      <c r="H134" s="364"/>
      <c r="I134" s="364"/>
      <c r="J134" s="364"/>
      <c r="K134" s="364"/>
      <c r="L134" s="364"/>
      <c r="M134" s="364"/>
      <c r="N134" s="364"/>
      <c r="O134" s="364"/>
      <c r="P134" s="364"/>
      <c r="Q134" s="364"/>
    </row>
    <row r="135" spans="1:17" s="196" customFormat="1" ht="19.5" hidden="1" customHeight="1" x14ac:dyDescent="0.25">
      <c r="A135" s="360" t="s">
        <v>418</v>
      </c>
      <c r="B135" s="361"/>
      <c r="C135" s="361"/>
      <c r="D135" s="361"/>
      <c r="E135" s="361"/>
      <c r="F135" s="361"/>
      <c r="G135" s="361"/>
      <c r="H135" s="361"/>
      <c r="I135" s="361"/>
      <c r="J135" s="361"/>
      <c r="K135" s="361"/>
      <c r="L135" s="361"/>
      <c r="M135" s="361"/>
      <c r="N135" s="361"/>
      <c r="O135" s="361"/>
      <c r="P135" s="361"/>
      <c r="Q135" s="361"/>
    </row>
    <row r="136" spans="1:17" s="198" customFormat="1" ht="32.25" hidden="1" customHeight="1" x14ac:dyDescent="0.25">
      <c r="A136" s="362" t="s">
        <v>127</v>
      </c>
      <c r="B136" s="362"/>
      <c r="C136" s="362" t="s">
        <v>419</v>
      </c>
      <c r="D136" s="362"/>
      <c r="E136" s="197" t="s">
        <v>420</v>
      </c>
      <c r="F136" s="197" t="s">
        <v>421</v>
      </c>
      <c r="G136" s="197" t="s">
        <v>422</v>
      </c>
      <c r="H136" s="362" t="s">
        <v>131</v>
      </c>
      <c r="I136" s="362"/>
      <c r="J136" s="362"/>
      <c r="K136" s="362" t="s">
        <v>423</v>
      </c>
      <c r="L136" s="362"/>
      <c r="M136" s="362" t="s">
        <v>132</v>
      </c>
      <c r="N136" s="362"/>
      <c r="O136" s="362"/>
      <c r="P136" s="362"/>
      <c r="Q136" s="362"/>
    </row>
    <row r="137" spans="1:17" s="198" customFormat="1" ht="93" hidden="1" customHeight="1" x14ac:dyDescent="0.25">
      <c r="A137" s="355">
        <v>1</v>
      </c>
      <c r="B137" s="355"/>
      <c r="C137" s="356" t="s">
        <v>424</v>
      </c>
      <c r="D137" s="357"/>
      <c r="E137" s="193" t="s">
        <v>406</v>
      </c>
      <c r="F137" s="194">
        <v>10</v>
      </c>
      <c r="G137" s="193">
        <v>60</v>
      </c>
      <c r="H137" s="351">
        <v>2000</v>
      </c>
      <c r="I137" s="358"/>
      <c r="J137" s="352"/>
      <c r="K137" s="351">
        <f>H137*F137</f>
        <v>20000</v>
      </c>
      <c r="L137" s="352"/>
      <c r="M137" s="359">
        <f>K137/G137</f>
        <v>333.33333333333331</v>
      </c>
      <c r="N137" s="359"/>
      <c r="O137" s="359"/>
      <c r="P137" s="359"/>
      <c r="Q137" s="359"/>
    </row>
    <row r="138" spans="1:17" s="198" customFormat="1" ht="141" hidden="1" customHeight="1" x14ac:dyDescent="0.25">
      <c r="A138" s="355">
        <v>2</v>
      </c>
      <c r="B138" s="355"/>
      <c r="C138" s="356" t="s">
        <v>425</v>
      </c>
      <c r="D138" s="357" t="s">
        <v>425</v>
      </c>
      <c r="E138" s="193" t="s">
        <v>406</v>
      </c>
      <c r="F138" s="194">
        <v>10</v>
      </c>
      <c r="G138" s="193">
        <v>60</v>
      </c>
      <c r="H138" s="351">
        <v>300</v>
      </c>
      <c r="I138" s="358">
        <v>300</v>
      </c>
      <c r="J138" s="352">
        <v>300</v>
      </c>
      <c r="K138" s="351">
        <f t="shared" ref="K138:K146" si="2">H138*F138</f>
        <v>3000</v>
      </c>
      <c r="L138" s="352"/>
      <c r="M138" s="359">
        <f t="shared" ref="M138:M146" si="3">K138/G138</f>
        <v>50</v>
      </c>
      <c r="N138" s="359"/>
      <c r="O138" s="359"/>
      <c r="P138" s="359"/>
      <c r="Q138" s="359"/>
    </row>
    <row r="139" spans="1:17" s="198" customFormat="1" ht="23.25" hidden="1" customHeight="1" x14ac:dyDescent="0.25">
      <c r="A139" s="355">
        <v>3</v>
      </c>
      <c r="B139" s="355"/>
      <c r="C139" s="356" t="s">
        <v>426</v>
      </c>
      <c r="D139" s="357" t="s">
        <v>426</v>
      </c>
      <c r="E139" s="193" t="s">
        <v>406</v>
      </c>
      <c r="F139" s="194">
        <v>33</v>
      </c>
      <c r="G139" s="193">
        <v>12</v>
      </c>
      <c r="H139" s="351">
        <v>50</v>
      </c>
      <c r="I139" s="358">
        <v>50</v>
      </c>
      <c r="J139" s="352">
        <v>50</v>
      </c>
      <c r="K139" s="351">
        <f t="shared" si="2"/>
        <v>1650</v>
      </c>
      <c r="L139" s="352"/>
      <c r="M139" s="359">
        <f t="shared" si="3"/>
        <v>137.5</v>
      </c>
      <c r="N139" s="359"/>
      <c r="O139" s="359"/>
      <c r="P139" s="359"/>
      <c r="Q139" s="359"/>
    </row>
    <row r="140" spans="1:17" s="198" customFormat="1" ht="27" hidden="1" customHeight="1" x14ac:dyDescent="0.25">
      <c r="A140" s="355">
        <v>4</v>
      </c>
      <c r="B140" s="355"/>
      <c r="C140" s="356" t="s">
        <v>427</v>
      </c>
      <c r="D140" s="357" t="s">
        <v>427</v>
      </c>
      <c r="E140" s="193" t="s">
        <v>406</v>
      </c>
      <c r="F140" s="194">
        <v>10</v>
      </c>
      <c r="G140" s="193">
        <v>60</v>
      </c>
      <c r="H140" s="351">
        <v>20</v>
      </c>
      <c r="I140" s="358">
        <v>20</v>
      </c>
      <c r="J140" s="352">
        <v>20</v>
      </c>
      <c r="K140" s="351">
        <f t="shared" si="2"/>
        <v>200</v>
      </c>
      <c r="L140" s="352"/>
      <c r="M140" s="359">
        <f t="shared" si="3"/>
        <v>3.3333333333333335</v>
      </c>
      <c r="N140" s="359"/>
      <c r="O140" s="359"/>
      <c r="P140" s="359"/>
      <c r="Q140" s="359"/>
    </row>
    <row r="141" spans="1:17" s="198" customFormat="1" ht="29.25" hidden="1" customHeight="1" x14ac:dyDescent="0.25">
      <c r="A141" s="355">
        <v>5</v>
      </c>
      <c r="B141" s="355"/>
      <c r="C141" s="356" t="s">
        <v>428</v>
      </c>
      <c r="D141" s="357" t="s">
        <v>428</v>
      </c>
      <c r="E141" s="193" t="s">
        <v>406</v>
      </c>
      <c r="F141" s="194">
        <v>33</v>
      </c>
      <c r="G141" s="193">
        <v>24</v>
      </c>
      <c r="H141" s="351">
        <v>50</v>
      </c>
      <c r="I141" s="358">
        <v>50</v>
      </c>
      <c r="J141" s="352">
        <v>50</v>
      </c>
      <c r="K141" s="351">
        <f t="shared" si="2"/>
        <v>1650</v>
      </c>
      <c r="L141" s="352"/>
      <c r="M141" s="359">
        <f t="shared" si="3"/>
        <v>68.75</v>
      </c>
      <c r="N141" s="359"/>
      <c r="O141" s="359"/>
      <c r="P141" s="359"/>
      <c r="Q141" s="359"/>
    </row>
    <row r="142" spans="1:17" s="198" customFormat="1" ht="62.25" hidden="1" customHeight="1" x14ac:dyDescent="0.25">
      <c r="A142" s="355">
        <v>6</v>
      </c>
      <c r="B142" s="355"/>
      <c r="C142" s="356" t="s">
        <v>429</v>
      </c>
      <c r="D142" s="357" t="s">
        <v>429</v>
      </c>
      <c r="E142" s="193" t="s">
        <v>406</v>
      </c>
      <c r="F142" s="194">
        <v>120</v>
      </c>
      <c r="G142" s="193">
        <v>6</v>
      </c>
      <c r="H142" s="351">
        <v>6</v>
      </c>
      <c r="I142" s="358">
        <v>6</v>
      </c>
      <c r="J142" s="352">
        <v>6</v>
      </c>
      <c r="K142" s="351">
        <f t="shared" si="2"/>
        <v>720</v>
      </c>
      <c r="L142" s="352"/>
      <c r="M142" s="359">
        <f t="shared" si="3"/>
        <v>120</v>
      </c>
      <c r="N142" s="359"/>
      <c r="O142" s="359"/>
      <c r="P142" s="359"/>
      <c r="Q142" s="359"/>
    </row>
    <row r="143" spans="1:17" s="198" customFormat="1" ht="24" hidden="1" customHeight="1" x14ac:dyDescent="0.25">
      <c r="A143" s="355">
        <v>7</v>
      </c>
      <c r="B143" s="355"/>
      <c r="C143" s="356" t="s">
        <v>430</v>
      </c>
      <c r="D143" s="357" t="s">
        <v>430</v>
      </c>
      <c r="E143" s="193" t="s">
        <v>406</v>
      </c>
      <c r="F143" s="194">
        <v>33</v>
      </c>
      <c r="G143" s="193">
        <v>12</v>
      </c>
      <c r="H143" s="351">
        <v>10</v>
      </c>
      <c r="I143" s="358">
        <v>10</v>
      </c>
      <c r="J143" s="352">
        <v>10</v>
      </c>
      <c r="K143" s="351">
        <f t="shared" si="2"/>
        <v>330</v>
      </c>
      <c r="L143" s="352"/>
      <c r="M143" s="359">
        <f t="shared" si="3"/>
        <v>27.5</v>
      </c>
      <c r="N143" s="359"/>
      <c r="O143" s="359"/>
      <c r="P143" s="359"/>
      <c r="Q143" s="359"/>
    </row>
    <row r="144" spans="1:17" s="198" customFormat="1" ht="23.25" hidden="1" customHeight="1" x14ac:dyDescent="0.25">
      <c r="A144" s="355">
        <v>8</v>
      </c>
      <c r="B144" s="355"/>
      <c r="C144" s="356" t="s">
        <v>431</v>
      </c>
      <c r="D144" s="357" t="s">
        <v>431</v>
      </c>
      <c r="E144" s="193" t="s">
        <v>406</v>
      </c>
      <c r="F144" s="194">
        <v>10</v>
      </c>
      <c r="G144" s="193">
        <v>24</v>
      </c>
      <c r="H144" s="351">
        <v>75</v>
      </c>
      <c r="I144" s="358">
        <v>75</v>
      </c>
      <c r="J144" s="352">
        <v>75</v>
      </c>
      <c r="K144" s="351">
        <f t="shared" si="2"/>
        <v>750</v>
      </c>
      <c r="L144" s="352"/>
      <c r="M144" s="359">
        <f t="shared" si="3"/>
        <v>31.25</v>
      </c>
      <c r="N144" s="359"/>
      <c r="O144" s="359"/>
      <c r="P144" s="359"/>
      <c r="Q144" s="359"/>
    </row>
    <row r="145" spans="1:17" s="198" customFormat="1" ht="24" hidden="1" customHeight="1" x14ac:dyDescent="0.25">
      <c r="A145" s="355">
        <v>9</v>
      </c>
      <c r="B145" s="355"/>
      <c r="C145" s="356" t="s">
        <v>432</v>
      </c>
      <c r="D145" s="357" t="s">
        <v>432</v>
      </c>
      <c r="E145" s="193" t="s">
        <v>406</v>
      </c>
      <c r="F145" s="194">
        <v>33</v>
      </c>
      <c r="G145" s="193">
        <v>24</v>
      </c>
      <c r="H145" s="351">
        <v>35</v>
      </c>
      <c r="I145" s="358">
        <v>35</v>
      </c>
      <c r="J145" s="352">
        <v>35</v>
      </c>
      <c r="K145" s="351">
        <f t="shared" si="2"/>
        <v>1155</v>
      </c>
      <c r="L145" s="352"/>
      <c r="M145" s="359">
        <f t="shared" si="3"/>
        <v>48.125</v>
      </c>
      <c r="N145" s="359"/>
      <c r="O145" s="359"/>
      <c r="P145" s="359"/>
      <c r="Q145" s="359"/>
    </row>
    <row r="146" spans="1:17" s="198" customFormat="1" ht="23.25" hidden="1" customHeight="1" x14ac:dyDescent="0.25">
      <c r="A146" s="355">
        <v>10</v>
      </c>
      <c r="B146" s="355"/>
      <c r="C146" s="356" t="s">
        <v>433</v>
      </c>
      <c r="D146" s="357" t="s">
        <v>433</v>
      </c>
      <c r="E146" s="193" t="s">
        <v>406</v>
      </c>
      <c r="F146" s="194">
        <v>4</v>
      </c>
      <c r="G146" s="193">
        <v>6</v>
      </c>
      <c r="H146" s="351">
        <v>10</v>
      </c>
      <c r="I146" s="358">
        <v>10</v>
      </c>
      <c r="J146" s="352">
        <v>10</v>
      </c>
      <c r="K146" s="351">
        <f t="shared" si="2"/>
        <v>40</v>
      </c>
      <c r="L146" s="352"/>
      <c r="M146" s="359">
        <f t="shared" si="3"/>
        <v>6.666666666666667</v>
      </c>
      <c r="N146" s="359"/>
      <c r="O146" s="359"/>
      <c r="P146" s="359"/>
      <c r="Q146" s="359"/>
    </row>
    <row r="147" spans="1:17" s="196" customFormat="1" ht="15" hidden="1" x14ac:dyDescent="0.25">
      <c r="A147" s="348" t="s">
        <v>434</v>
      </c>
      <c r="B147" s="349"/>
      <c r="C147" s="349"/>
      <c r="D147" s="349"/>
      <c r="E147" s="349"/>
      <c r="F147" s="349"/>
      <c r="G147" s="349"/>
      <c r="H147" s="349"/>
      <c r="I147" s="349"/>
      <c r="J147" s="350"/>
      <c r="K147" s="351">
        <f>SUM(K137:L146)</f>
        <v>29495</v>
      </c>
      <c r="L147" s="352"/>
      <c r="M147" s="353">
        <f>SUM(M137:Q146)</f>
        <v>826.45833333333326</v>
      </c>
      <c r="N147" s="353"/>
      <c r="O147" s="353"/>
      <c r="P147" s="353"/>
      <c r="Q147" s="353"/>
    </row>
    <row r="148" spans="1:17" s="196" customFormat="1" ht="15" hidden="1" x14ac:dyDescent="0.25">
      <c r="A148" s="348" t="s">
        <v>435</v>
      </c>
      <c r="B148" s="349"/>
      <c r="C148" s="349"/>
      <c r="D148" s="349"/>
      <c r="E148" s="349"/>
      <c r="F148" s="349"/>
      <c r="G148" s="349"/>
      <c r="H148" s="349"/>
      <c r="I148" s="349"/>
      <c r="J148" s="350"/>
      <c r="K148" s="354">
        <v>33</v>
      </c>
      <c r="L148" s="354"/>
      <c r="M148" s="353">
        <f>M147/K148</f>
        <v>25.044191919191917</v>
      </c>
      <c r="N148" s="353"/>
      <c r="O148" s="353"/>
      <c r="P148" s="353"/>
      <c r="Q148" s="353"/>
    </row>
    <row r="149" spans="1:17" s="174" customFormat="1" ht="5.0999999999999996" hidden="1" customHeight="1" x14ac:dyDescent="0.25">
      <c r="A149" s="331"/>
      <c r="B149" s="331"/>
      <c r="C149" s="331"/>
      <c r="D149" s="331"/>
      <c r="E149" s="331"/>
      <c r="F149" s="331"/>
      <c r="G149" s="331"/>
      <c r="H149" s="331"/>
      <c r="I149" s="331"/>
      <c r="J149" s="331"/>
      <c r="K149" s="331"/>
      <c r="L149" s="331"/>
      <c r="M149" s="331"/>
      <c r="N149" s="331"/>
      <c r="O149" s="331"/>
      <c r="P149" s="331"/>
    </row>
    <row r="150" spans="1:17" s="174" customFormat="1" ht="20.25" hidden="1" customHeight="1" x14ac:dyDescent="0.25">
      <c r="A150" s="188"/>
      <c r="B150" s="188"/>
      <c r="C150" s="188"/>
      <c r="D150" s="188"/>
      <c r="E150" s="188"/>
      <c r="F150" s="188"/>
      <c r="G150" s="188"/>
      <c r="H150" s="188"/>
      <c r="I150" s="188"/>
      <c r="J150" s="188"/>
      <c r="K150" s="188"/>
      <c r="L150" s="188"/>
      <c r="M150" s="188"/>
      <c r="N150" s="188"/>
      <c r="O150" s="188"/>
      <c r="P150" s="188"/>
    </row>
    <row r="151" spans="1:17" s="174" customFormat="1" ht="9.9499999999999993" customHeight="1" x14ac:dyDescent="0.25">
      <c r="A151" s="341"/>
      <c r="B151" s="341"/>
      <c r="C151" s="341"/>
      <c r="D151" s="341"/>
      <c r="E151" s="341"/>
      <c r="F151" s="341"/>
      <c r="G151" s="341"/>
      <c r="H151" s="341"/>
      <c r="I151" s="341"/>
      <c r="J151" s="341"/>
      <c r="K151" s="341"/>
      <c r="L151" s="341"/>
      <c r="M151" s="331"/>
      <c r="N151" s="331"/>
      <c r="O151" s="331"/>
      <c r="P151" s="331"/>
    </row>
    <row r="152" spans="1:17" s="174" customFormat="1" ht="42" customHeight="1" x14ac:dyDescent="0.25">
      <c r="A152" s="342" t="s">
        <v>436</v>
      </c>
      <c r="B152" s="343"/>
      <c r="C152" s="343"/>
      <c r="D152" s="343"/>
      <c r="E152" s="343"/>
      <c r="F152" s="343"/>
      <c r="G152" s="343"/>
      <c r="H152" s="343"/>
      <c r="I152" s="343"/>
      <c r="J152" s="343"/>
      <c r="K152" s="343"/>
      <c r="L152" s="343"/>
      <c r="M152" s="343"/>
      <c r="N152" s="343"/>
      <c r="O152" s="343"/>
      <c r="P152" s="343"/>
      <c r="Q152" s="344"/>
    </row>
    <row r="153" spans="1:17" s="174" customFormat="1" ht="18.75" customHeight="1" x14ac:dyDescent="0.25">
      <c r="A153" s="345" t="s">
        <v>437</v>
      </c>
      <c r="B153" s="346"/>
      <c r="C153" s="346"/>
      <c r="D153" s="346"/>
      <c r="E153" s="346"/>
      <c r="F153" s="346"/>
      <c r="G153" s="346"/>
      <c r="H153" s="346"/>
      <c r="I153" s="346"/>
      <c r="J153" s="346"/>
      <c r="K153" s="346"/>
      <c r="L153" s="346"/>
      <c r="M153" s="346"/>
      <c r="N153" s="346"/>
      <c r="O153" s="346"/>
      <c r="P153" s="346"/>
      <c r="Q153" s="347"/>
    </row>
    <row r="154" spans="1:17" s="174" customFormat="1" ht="35.1" customHeight="1" x14ac:dyDescent="0.25">
      <c r="A154" s="317" t="s">
        <v>438</v>
      </c>
      <c r="B154" s="318"/>
      <c r="C154" s="318"/>
      <c r="D154" s="318"/>
      <c r="E154" s="318"/>
      <c r="F154" s="318"/>
      <c r="G154" s="318"/>
      <c r="H154" s="318"/>
      <c r="I154" s="318"/>
      <c r="J154" s="318"/>
      <c r="K154" s="318"/>
      <c r="L154" s="318"/>
      <c r="M154" s="318"/>
      <c r="N154" s="318"/>
      <c r="O154" s="318"/>
      <c r="P154" s="318"/>
      <c r="Q154" s="319"/>
    </row>
    <row r="155" spans="1:17" s="174" customFormat="1" ht="35.1" customHeight="1" x14ac:dyDescent="0.25">
      <c r="A155" s="320" t="s">
        <v>439</v>
      </c>
      <c r="B155" s="321"/>
      <c r="C155" s="321"/>
      <c r="D155" s="321"/>
      <c r="E155" s="321"/>
      <c r="F155" s="321"/>
      <c r="G155" s="321"/>
      <c r="H155" s="321"/>
      <c r="I155" s="321"/>
      <c r="J155" s="321"/>
      <c r="K155" s="321"/>
      <c r="L155" s="321"/>
      <c r="M155" s="321"/>
      <c r="N155" s="321"/>
      <c r="O155" s="321"/>
      <c r="P155" s="321"/>
      <c r="Q155" s="322"/>
    </row>
    <row r="156" spans="1:17" s="174" customFormat="1" ht="35.1" customHeight="1" x14ac:dyDescent="0.25">
      <c r="A156" s="323"/>
      <c r="B156" s="324"/>
      <c r="C156" s="324"/>
      <c r="D156" s="324"/>
      <c r="E156" s="324"/>
      <c r="F156" s="324"/>
      <c r="G156" s="324"/>
      <c r="H156" s="324"/>
      <c r="I156" s="324"/>
      <c r="J156" s="324"/>
      <c r="K156" s="324"/>
      <c r="L156" s="324"/>
      <c r="M156" s="324"/>
      <c r="N156" s="324"/>
      <c r="O156" s="324"/>
      <c r="P156" s="324"/>
      <c r="Q156" s="325"/>
    </row>
    <row r="157" spans="1:17" s="174" customFormat="1" ht="186.75" customHeight="1" x14ac:dyDescent="0.25">
      <c r="A157" s="326"/>
      <c r="B157" s="327"/>
      <c r="C157" s="327"/>
      <c r="D157" s="327"/>
      <c r="E157" s="327"/>
      <c r="F157" s="327"/>
      <c r="G157" s="327"/>
      <c r="H157" s="327"/>
      <c r="I157" s="327"/>
      <c r="J157" s="327"/>
      <c r="K157" s="327"/>
      <c r="L157" s="327"/>
      <c r="M157" s="327"/>
      <c r="N157" s="327"/>
      <c r="O157" s="327"/>
      <c r="P157" s="327"/>
      <c r="Q157" s="328"/>
    </row>
    <row r="158" spans="1:17" s="174" customFormat="1" ht="13.5" customHeight="1" x14ac:dyDescent="0.25">
      <c r="A158" s="314" t="s">
        <v>440</v>
      </c>
      <c r="B158" s="315"/>
      <c r="C158" s="315"/>
      <c r="D158" s="315"/>
      <c r="E158" s="315"/>
      <c r="F158" s="315"/>
      <c r="G158" s="315"/>
      <c r="H158" s="315"/>
      <c r="I158" s="315"/>
      <c r="J158" s="315"/>
      <c r="K158" s="315"/>
      <c r="L158" s="315"/>
      <c r="M158" s="315"/>
      <c r="N158" s="315"/>
      <c r="O158" s="315"/>
      <c r="P158" s="315"/>
      <c r="Q158" s="316"/>
    </row>
    <row r="159" spans="1:17" s="174" customFormat="1" ht="35.1" customHeight="1" x14ac:dyDescent="0.25">
      <c r="A159" s="317" t="s">
        <v>441</v>
      </c>
      <c r="B159" s="318"/>
      <c r="C159" s="318"/>
      <c r="D159" s="318"/>
      <c r="E159" s="318"/>
      <c r="F159" s="318"/>
      <c r="G159" s="318"/>
      <c r="H159" s="318"/>
      <c r="I159" s="318"/>
      <c r="J159" s="318"/>
      <c r="K159" s="318"/>
      <c r="L159" s="318"/>
      <c r="M159" s="318"/>
      <c r="N159" s="318"/>
      <c r="O159" s="318"/>
      <c r="P159" s="318"/>
      <c r="Q159" s="319"/>
    </row>
    <row r="160" spans="1:17" s="174" customFormat="1" ht="35.1" customHeight="1" x14ac:dyDescent="0.25">
      <c r="A160" s="320" t="s">
        <v>442</v>
      </c>
      <c r="B160" s="321"/>
      <c r="C160" s="321"/>
      <c r="D160" s="321"/>
      <c r="E160" s="321"/>
      <c r="F160" s="321"/>
      <c r="G160" s="321"/>
      <c r="H160" s="321"/>
      <c r="I160" s="321"/>
      <c r="J160" s="321"/>
      <c r="K160" s="321"/>
      <c r="L160" s="321"/>
      <c r="M160" s="321"/>
      <c r="N160" s="321"/>
      <c r="O160" s="321"/>
      <c r="P160" s="321"/>
      <c r="Q160" s="322"/>
    </row>
    <row r="161" spans="1:17" s="174" customFormat="1" ht="35.1" customHeight="1" x14ac:dyDescent="0.25">
      <c r="A161" s="323"/>
      <c r="B161" s="324"/>
      <c r="C161" s="324"/>
      <c r="D161" s="324"/>
      <c r="E161" s="324"/>
      <c r="F161" s="324"/>
      <c r="G161" s="324"/>
      <c r="H161" s="324"/>
      <c r="I161" s="324"/>
      <c r="J161" s="324"/>
      <c r="K161" s="324"/>
      <c r="L161" s="324"/>
      <c r="M161" s="324"/>
      <c r="N161" s="324"/>
      <c r="O161" s="324"/>
      <c r="P161" s="324"/>
      <c r="Q161" s="325"/>
    </row>
    <row r="162" spans="1:17" s="174" customFormat="1" ht="259.5" customHeight="1" x14ac:dyDescent="0.25">
      <c r="A162" s="326"/>
      <c r="B162" s="327"/>
      <c r="C162" s="327"/>
      <c r="D162" s="327"/>
      <c r="E162" s="327"/>
      <c r="F162" s="327"/>
      <c r="G162" s="327"/>
      <c r="H162" s="327"/>
      <c r="I162" s="327"/>
      <c r="J162" s="327"/>
      <c r="K162" s="327"/>
      <c r="L162" s="327"/>
      <c r="M162" s="327"/>
      <c r="N162" s="327"/>
      <c r="O162" s="327"/>
      <c r="P162" s="327"/>
      <c r="Q162" s="328"/>
    </row>
    <row r="163" spans="1:17" s="174" customFormat="1" ht="13.5" customHeight="1" x14ac:dyDescent="0.25">
      <c r="A163" s="329" t="s">
        <v>443</v>
      </c>
      <c r="B163" s="329"/>
      <c r="C163" s="329"/>
      <c r="D163" s="329"/>
      <c r="E163" s="329"/>
      <c r="F163" s="329"/>
      <c r="G163" s="329"/>
      <c r="H163" s="329"/>
      <c r="I163" s="329"/>
      <c r="J163" s="329"/>
      <c r="K163" s="329"/>
      <c r="L163" s="329"/>
      <c r="M163" s="329"/>
      <c r="N163" s="329"/>
      <c r="O163" s="329"/>
      <c r="P163" s="329"/>
      <c r="Q163" s="329"/>
    </row>
    <row r="164" spans="1:17" s="174" customFormat="1" ht="44.25" customHeight="1" x14ac:dyDescent="0.25">
      <c r="A164" s="330" t="s">
        <v>444</v>
      </c>
      <c r="B164" s="331"/>
      <c r="C164" s="331"/>
      <c r="D164" s="331"/>
      <c r="E164" s="331"/>
      <c r="F164" s="331"/>
      <c r="G164" s="331"/>
      <c r="H164" s="331"/>
      <c r="I164" s="331"/>
      <c r="J164" s="331"/>
      <c r="K164" s="331"/>
      <c r="L164" s="331"/>
      <c r="M164" s="331"/>
      <c r="N164" s="331"/>
      <c r="O164" s="331"/>
      <c r="P164" s="331"/>
      <c r="Q164" s="331"/>
    </row>
    <row r="165" spans="1:17" x14ac:dyDescent="0.25">
      <c r="A165" s="332" t="s">
        <v>445</v>
      </c>
      <c r="B165" s="333"/>
      <c r="C165" s="333"/>
      <c r="D165" s="333"/>
      <c r="E165" s="333"/>
      <c r="F165" s="333"/>
      <c r="G165" s="333"/>
      <c r="H165" s="333"/>
      <c r="I165" s="333"/>
      <c r="J165" s="333"/>
      <c r="K165" s="333"/>
      <c r="L165" s="333"/>
      <c r="M165" s="333"/>
      <c r="N165" s="333"/>
      <c r="O165" s="333"/>
      <c r="P165" s="333"/>
      <c r="Q165" s="334"/>
    </row>
    <row r="166" spans="1:17" x14ac:dyDescent="0.25">
      <c r="A166" s="335"/>
      <c r="B166" s="336"/>
      <c r="C166" s="336"/>
      <c r="D166" s="336"/>
      <c r="E166" s="336"/>
      <c r="F166" s="336"/>
      <c r="G166" s="336"/>
      <c r="H166" s="336"/>
      <c r="I166" s="336"/>
      <c r="J166" s="336"/>
      <c r="K166" s="336"/>
      <c r="L166" s="336"/>
      <c r="M166" s="336"/>
      <c r="N166" s="336"/>
      <c r="O166" s="336"/>
      <c r="P166" s="336"/>
      <c r="Q166" s="337"/>
    </row>
    <row r="167" spans="1:17" ht="270" customHeight="1" x14ac:dyDescent="0.25">
      <c r="A167" s="338"/>
      <c r="B167" s="339"/>
      <c r="C167" s="339"/>
      <c r="D167" s="339"/>
      <c r="E167" s="339"/>
      <c r="F167" s="339"/>
      <c r="G167" s="339"/>
      <c r="H167" s="339"/>
      <c r="I167" s="339"/>
      <c r="J167" s="339"/>
      <c r="K167" s="339"/>
      <c r="L167" s="339"/>
      <c r="M167" s="339"/>
      <c r="N167" s="339"/>
      <c r="O167" s="339"/>
      <c r="P167" s="339"/>
      <c r="Q167" s="340"/>
    </row>
  </sheetData>
  <mergeCells count="296">
    <mergeCell ref="A1:Q1"/>
    <mergeCell ref="A2:Q2"/>
    <mergeCell ref="A3:Q3"/>
    <mergeCell ref="A4:Q4"/>
    <mergeCell ref="A5:Q5"/>
    <mergeCell ref="A6:Q6"/>
    <mergeCell ref="A13:Q13"/>
    <mergeCell ref="A14:Q14"/>
    <mergeCell ref="A15:Q15"/>
    <mergeCell ref="A16:Q16"/>
    <mergeCell ref="A17:Q18"/>
    <mergeCell ref="A19:Q19"/>
    <mergeCell ref="A7:Q7"/>
    <mergeCell ref="A8:Q8"/>
    <mergeCell ref="A9:Q9"/>
    <mergeCell ref="A10:Q10"/>
    <mergeCell ref="A11:Q11"/>
    <mergeCell ref="A12:Q12"/>
    <mergeCell ref="A26:Q26"/>
    <mergeCell ref="A27:Q27"/>
    <mergeCell ref="A28:Q28"/>
    <mergeCell ref="A29:Q29"/>
    <mergeCell ref="A30:Q30"/>
    <mergeCell ref="B31:D31"/>
    <mergeCell ref="F31:Q31"/>
    <mergeCell ref="A20:Q20"/>
    <mergeCell ref="A21:Q21"/>
    <mergeCell ref="A22:Q22"/>
    <mergeCell ref="A23:Q23"/>
    <mergeCell ref="A24:Q24"/>
    <mergeCell ref="A25:Q25"/>
    <mergeCell ref="A35:Q35"/>
    <mergeCell ref="A36:Q36"/>
    <mergeCell ref="B37:D37"/>
    <mergeCell ref="F37:Q37"/>
    <mergeCell ref="B38:D38"/>
    <mergeCell ref="F38:Q38"/>
    <mergeCell ref="B32:D32"/>
    <mergeCell ref="F32:Q32"/>
    <mergeCell ref="B33:D33"/>
    <mergeCell ref="F33:Q33"/>
    <mergeCell ref="A34:D34"/>
    <mergeCell ref="F34:Q34"/>
    <mergeCell ref="B42:D42"/>
    <mergeCell ref="F42:Q42"/>
    <mergeCell ref="B43:D43"/>
    <mergeCell ref="F43:Q43"/>
    <mergeCell ref="B44:D44"/>
    <mergeCell ref="F44:Q44"/>
    <mergeCell ref="B39:D39"/>
    <mergeCell ref="F39:Q39"/>
    <mergeCell ref="B40:D40"/>
    <mergeCell ref="F40:Q40"/>
    <mergeCell ref="B41:D41"/>
    <mergeCell ref="F41:Q41"/>
    <mergeCell ref="A45:D45"/>
    <mergeCell ref="F45:Q45"/>
    <mergeCell ref="A47:Q47"/>
    <mergeCell ref="A48:Q48"/>
    <mergeCell ref="A49:Q49"/>
    <mergeCell ref="A50:C50"/>
    <mergeCell ref="D50:F50"/>
    <mergeCell ref="H50:K50"/>
    <mergeCell ref="L50:Q50"/>
    <mergeCell ref="A53:K53"/>
    <mergeCell ref="L53:Q53"/>
    <mergeCell ref="A54:K54"/>
    <mergeCell ref="L54:Q54"/>
    <mergeCell ref="A55:K55"/>
    <mergeCell ref="L55:Q55"/>
    <mergeCell ref="A51:C52"/>
    <mergeCell ref="D51:F51"/>
    <mergeCell ref="H51:K51"/>
    <mergeCell ref="L51:Q51"/>
    <mergeCell ref="D52:F52"/>
    <mergeCell ref="H52:K52"/>
    <mergeCell ref="L52:Q52"/>
    <mergeCell ref="A61:K61"/>
    <mergeCell ref="L61:Q61"/>
    <mergeCell ref="A62:K62"/>
    <mergeCell ref="L62:Q62"/>
    <mergeCell ref="A63:K63"/>
    <mergeCell ref="L63:Q63"/>
    <mergeCell ref="A56:Q56"/>
    <mergeCell ref="A57:Q57"/>
    <mergeCell ref="A58:Q58"/>
    <mergeCell ref="A59:C60"/>
    <mergeCell ref="D59:F59"/>
    <mergeCell ref="H59:K59"/>
    <mergeCell ref="L59:Q59"/>
    <mergeCell ref="D60:F60"/>
    <mergeCell ref="H60:K60"/>
    <mergeCell ref="L60:Q60"/>
    <mergeCell ref="A64:Q64"/>
    <mergeCell ref="A65:Q65"/>
    <mergeCell ref="A66:Q66"/>
    <mergeCell ref="A67:Q67"/>
    <mergeCell ref="A68:Q68"/>
    <mergeCell ref="B69:C69"/>
    <mergeCell ref="D69:E69"/>
    <mergeCell ref="G69:H69"/>
    <mergeCell ref="I69:K69"/>
    <mergeCell ref="L69:Q69"/>
    <mergeCell ref="A72:Q72"/>
    <mergeCell ref="A73:Q73"/>
    <mergeCell ref="A74:E74"/>
    <mergeCell ref="F74:Q74"/>
    <mergeCell ref="A75:Q75"/>
    <mergeCell ref="A76:Q76"/>
    <mergeCell ref="B70:C70"/>
    <mergeCell ref="D70:E70"/>
    <mergeCell ref="G70:H70"/>
    <mergeCell ref="I70:K70"/>
    <mergeCell ref="L70:Q70"/>
    <mergeCell ref="B71:C71"/>
    <mergeCell ref="D71:E71"/>
    <mergeCell ref="G71:H71"/>
    <mergeCell ref="I71:K71"/>
    <mergeCell ref="L71:Q71"/>
    <mergeCell ref="A82:E82"/>
    <mergeCell ref="F82:Q82"/>
    <mergeCell ref="A83:Q83"/>
    <mergeCell ref="A84:Q84"/>
    <mergeCell ref="A85:Q85"/>
    <mergeCell ref="A86:E86"/>
    <mergeCell ref="F86:Q86"/>
    <mergeCell ref="A77:Q77"/>
    <mergeCell ref="A78:E78"/>
    <mergeCell ref="F78:Q78"/>
    <mergeCell ref="A79:Q79"/>
    <mergeCell ref="A80:Q80"/>
    <mergeCell ref="A81:Q81"/>
    <mergeCell ref="B92:D92"/>
    <mergeCell ref="F92:Q92"/>
    <mergeCell ref="B93:D93"/>
    <mergeCell ref="F93:Q93"/>
    <mergeCell ref="B94:D94"/>
    <mergeCell ref="F94:Q94"/>
    <mergeCell ref="A87:Q87"/>
    <mergeCell ref="A88:Q88"/>
    <mergeCell ref="A89:Q89"/>
    <mergeCell ref="B90:D90"/>
    <mergeCell ref="F90:Q90"/>
    <mergeCell ref="B91:D91"/>
    <mergeCell ref="F91:Q91"/>
    <mergeCell ref="A100:Q100"/>
    <mergeCell ref="B101:D101"/>
    <mergeCell ref="F101:Q101"/>
    <mergeCell ref="B102:D102"/>
    <mergeCell ref="F102:Q102"/>
    <mergeCell ref="B103:D103"/>
    <mergeCell ref="F103:Q103"/>
    <mergeCell ref="B95:D95"/>
    <mergeCell ref="F95:Q95"/>
    <mergeCell ref="A96:D96"/>
    <mergeCell ref="F96:Q96"/>
    <mergeCell ref="A97:Q98"/>
    <mergeCell ref="A99:Q99"/>
    <mergeCell ref="A107:D107"/>
    <mergeCell ref="F107:Q107"/>
    <mergeCell ref="A108:P108"/>
    <mergeCell ref="A109:Q109"/>
    <mergeCell ref="A110:Q110"/>
    <mergeCell ref="A111:Q111"/>
    <mergeCell ref="B104:D104"/>
    <mergeCell ref="F104:Q104"/>
    <mergeCell ref="B105:D105"/>
    <mergeCell ref="F105:Q105"/>
    <mergeCell ref="B106:D106"/>
    <mergeCell ref="F106:Q106"/>
    <mergeCell ref="B118:D118"/>
    <mergeCell ref="H118:I118"/>
    <mergeCell ref="J118:L118"/>
    <mergeCell ref="M118:Q118"/>
    <mergeCell ref="B119:D119"/>
    <mergeCell ref="H119:I119"/>
    <mergeCell ref="J119:L119"/>
    <mergeCell ref="M119:Q119"/>
    <mergeCell ref="A112:Q112"/>
    <mergeCell ref="A113:Q113"/>
    <mergeCell ref="A114:Q114"/>
    <mergeCell ref="A115:Q115"/>
    <mergeCell ref="A116:Q116"/>
    <mergeCell ref="A117:Q117"/>
    <mergeCell ref="B122:D122"/>
    <mergeCell ref="H122:I122"/>
    <mergeCell ref="J122:L122"/>
    <mergeCell ref="M122:Q122"/>
    <mergeCell ref="B123:D123"/>
    <mergeCell ref="H123:I123"/>
    <mergeCell ref="J123:L123"/>
    <mergeCell ref="M123:Q123"/>
    <mergeCell ref="B120:D120"/>
    <mergeCell ref="H120:I120"/>
    <mergeCell ref="J120:L120"/>
    <mergeCell ref="M120:Q120"/>
    <mergeCell ref="B121:D121"/>
    <mergeCell ref="H121:I121"/>
    <mergeCell ref="J121:L121"/>
    <mergeCell ref="M121:Q121"/>
    <mergeCell ref="B126:D126"/>
    <mergeCell ref="H126:I126"/>
    <mergeCell ref="J126:L126"/>
    <mergeCell ref="M126:Q126"/>
    <mergeCell ref="A127:G127"/>
    <mergeCell ref="H127:I127"/>
    <mergeCell ref="J127:L127"/>
    <mergeCell ref="M127:Q127"/>
    <mergeCell ref="B124:D124"/>
    <mergeCell ref="H124:I124"/>
    <mergeCell ref="J124:L124"/>
    <mergeCell ref="M124:Q124"/>
    <mergeCell ref="B125:D125"/>
    <mergeCell ref="H125:I125"/>
    <mergeCell ref="J125:L125"/>
    <mergeCell ref="M125:Q125"/>
    <mergeCell ref="A135:Q135"/>
    <mergeCell ref="A136:B136"/>
    <mergeCell ref="C136:D136"/>
    <mergeCell ref="H136:J136"/>
    <mergeCell ref="K136:L136"/>
    <mergeCell ref="M136:Q136"/>
    <mergeCell ref="A128:P128"/>
    <mergeCell ref="A129:Q129"/>
    <mergeCell ref="A130:P130"/>
    <mergeCell ref="A131:P131"/>
    <mergeCell ref="A133:P133"/>
    <mergeCell ref="A134:Q134"/>
    <mergeCell ref="A137:B137"/>
    <mergeCell ref="C137:D137"/>
    <mergeCell ref="H137:J137"/>
    <mergeCell ref="K137:L137"/>
    <mergeCell ref="M137:Q137"/>
    <mergeCell ref="A138:B138"/>
    <mergeCell ref="C138:D138"/>
    <mergeCell ref="H138:J138"/>
    <mergeCell ref="K138:L138"/>
    <mergeCell ref="M138:Q138"/>
    <mergeCell ref="A139:B139"/>
    <mergeCell ref="C139:D139"/>
    <mergeCell ref="H139:J139"/>
    <mergeCell ref="K139:L139"/>
    <mergeCell ref="M139:Q139"/>
    <mergeCell ref="A140:B140"/>
    <mergeCell ref="C140:D140"/>
    <mergeCell ref="H140:J140"/>
    <mergeCell ref="K140:L140"/>
    <mergeCell ref="M140:Q140"/>
    <mergeCell ref="A141:B141"/>
    <mergeCell ref="C141:D141"/>
    <mergeCell ref="H141:J141"/>
    <mergeCell ref="K141:L141"/>
    <mergeCell ref="M141:Q141"/>
    <mergeCell ref="A142:B142"/>
    <mergeCell ref="C142:D142"/>
    <mergeCell ref="H142:J142"/>
    <mergeCell ref="K142:L142"/>
    <mergeCell ref="M142:Q142"/>
    <mergeCell ref="A143:B143"/>
    <mergeCell ref="C143:D143"/>
    <mergeCell ref="H143:J143"/>
    <mergeCell ref="K143:L143"/>
    <mergeCell ref="M143:Q143"/>
    <mergeCell ref="A144:B144"/>
    <mergeCell ref="C144:D144"/>
    <mergeCell ref="H144:J144"/>
    <mergeCell ref="K144:L144"/>
    <mergeCell ref="M144:Q144"/>
    <mergeCell ref="A147:J147"/>
    <mergeCell ref="K147:L147"/>
    <mergeCell ref="M147:Q147"/>
    <mergeCell ref="A148:J148"/>
    <mergeCell ref="K148:L148"/>
    <mergeCell ref="M148:Q148"/>
    <mergeCell ref="A145:B145"/>
    <mergeCell ref="C145:D145"/>
    <mergeCell ref="H145:J145"/>
    <mergeCell ref="K145:L145"/>
    <mergeCell ref="M145:Q145"/>
    <mergeCell ref="A146:B146"/>
    <mergeCell ref="C146:D146"/>
    <mergeCell ref="H146:J146"/>
    <mergeCell ref="K146:L146"/>
    <mergeCell ref="M146:Q146"/>
    <mergeCell ref="A158:Q158"/>
    <mergeCell ref="A159:Q159"/>
    <mergeCell ref="A160:Q162"/>
    <mergeCell ref="A163:Q163"/>
    <mergeCell ref="A164:Q164"/>
    <mergeCell ref="A165:Q167"/>
    <mergeCell ref="A149:P149"/>
    <mergeCell ref="A151:P151"/>
    <mergeCell ref="A152:Q152"/>
    <mergeCell ref="A153:Q153"/>
    <mergeCell ref="A154:Q154"/>
    <mergeCell ref="A155:Q157"/>
  </mergeCells>
  <hyperlinks>
    <hyperlink ref="A7" r:id="rId1" display="http://www.planalto.gov.br/ccivil_03/decreto-lei/Del5452.htm" xr:uid="{7E39362A-7292-4C83-A1EB-12F70DACE718}"/>
    <hyperlink ref="A10" r:id="rId2" display="http://www.planalto.gov.br/ccivil_03/decreto-lei/Del5452.htm" xr:uid="{E19F3337-3FF5-49EE-BD09-4431B51159A4}"/>
    <hyperlink ref="A14" r:id="rId3" display="http://www.planalto.gov.br/ccivil_03/decreto-lei/Del5452.htm" xr:uid="{45D1ABF3-ABF9-4841-85AA-4999CA35B9F1}"/>
    <hyperlink ref="A21" r:id="rId4" display="http://www.planalto.gov.br/ccivil_03/decreto-lei/Del5452.htm" xr:uid="{45D6B1C3-83C9-4A5D-9539-C0C0E4C56BE0}"/>
    <hyperlink ref="A24" r:id="rId5" display="http://www.planalto.gov.br/ccivil_03/decreto-lei/Del5452.htm" xr:uid="{22FA2A31-6575-4C65-AA7A-2E8DB3DF33CE}"/>
    <hyperlink ref="A26" r:id="rId6" display="http://www.planalto.gov.br/ccivil_03/decreto-lei/Del5452.htm" xr:uid="{8E1B9162-1711-4CB9-AFB2-3974534435B3}"/>
    <hyperlink ref="F40" r:id="rId7" display="http://www.planalto.gov.br/ccivil_03/_Ato2019-2022/2020/Mpv/mpv932.htm" xr:uid="{C4BE849D-BF05-4124-ABAB-B53CF22FE1E6}"/>
    <hyperlink ref="F41" r:id="rId8" display="http://www.planalto.gov.br/ccivil_03/_Ato2019-2022/2020/Mpv/mpv932.htm" xr:uid="{DED6ABCC-AC8D-4DB8-ABDD-22E52EA8883B}"/>
    <hyperlink ref="A114" r:id="rId9" display="http://www.planalto.gov.br/ccivil_03/decreto-lei/Del5452.htm" xr:uid="{9741FABF-3548-495C-937D-25052C490B17}"/>
  </hyperlinks>
  <printOptions horizontalCentered="1" verticalCentered="1"/>
  <pageMargins left="0.70866141732283472" right="0.70866141732283472" top="0.74803149606299213" bottom="0.74803149606299213" header="0.31496062992125984" footer="0.31496062992125984"/>
  <pageSetup paperSize="9" scale="55" orientation="portrait" r:id="rId10"/>
  <rowBreaks count="5" manualBreakCount="5">
    <brk id="28" max="16" man="1"/>
    <brk id="46" max="16" man="1"/>
    <brk id="87" max="16" man="1"/>
    <brk id="108" max="16" man="1"/>
    <brk id="114" max="16" man="1"/>
  </rowBreaks>
  <colBreaks count="1" manualBreakCount="1">
    <brk id="17" max="16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DCDC6-4E1B-4CEE-9A9D-C752485CF4B5}">
  <sheetPr>
    <pageSetUpPr fitToPage="1"/>
  </sheetPr>
  <dimension ref="A1:Y67"/>
  <sheetViews>
    <sheetView topLeftCell="A33" workbookViewId="0">
      <selection activeCell="I35" sqref="I35"/>
    </sheetView>
  </sheetViews>
  <sheetFormatPr defaultColWidth="9.140625" defaultRowHeight="15.75" x14ac:dyDescent="0.25"/>
  <cols>
    <col min="1" max="1" width="15.5703125" style="90" customWidth="1"/>
    <col min="2" max="2" width="36" style="91" customWidth="1"/>
    <col min="3" max="3" width="16.42578125" style="91" customWidth="1"/>
    <col min="4" max="4" width="14" style="91" customWidth="1"/>
    <col min="5" max="5" width="20.5703125" style="91" customWidth="1"/>
    <col min="6" max="7" width="13.5703125" style="91" customWidth="1"/>
    <col min="8" max="8" width="23.42578125" style="91" customWidth="1"/>
    <col min="9" max="9" width="27" style="91" customWidth="1"/>
    <col min="10" max="10" width="26.5703125" style="91" customWidth="1"/>
    <col min="11" max="11" width="17.7109375" style="91" customWidth="1"/>
    <col min="12" max="12" width="18.7109375" style="91" customWidth="1"/>
    <col min="13" max="13" width="9.140625" style="91"/>
    <col min="14" max="14" width="10.5703125" style="91" customWidth="1"/>
    <col min="15" max="15" width="9.140625" style="91"/>
    <col min="16" max="16" width="13.42578125" style="91" customWidth="1"/>
    <col min="17" max="17" width="16.28515625" style="92" customWidth="1"/>
    <col min="18" max="18" width="17.140625" style="91" customWidth="1"/>
    <col min="19" max="19" width="18" style="91" customWidth="1"/>
    <col min="20" max="20" width="19.42578125" style="91" customWidth="1"/>
    <col min="21" max="21" width="11.5703125" style="91" bestFit="1" customWidth="1"/>
    <col min="22" max="23" width="9.140625" style="91"/>
    <col min="24" max="25" width="11.5703125" style="91" bestFit="1" customWidth="1"/>
    <col min="26" max="16384" width="9.140625" style="91"/>
  </cols>
  <sheetData>
    <row r="1" spans="1:9" hidden="1" x14ac:dyDescent="0.25"/>
    <row r="2" spans="1:9" ht="15" hidden="1" customHeight="1" x14ac:dyDescent="0.25">
      <c r="A2" s="485" t="s">
        <v>172</v>
      </c>
      <c r="B2" s="486"/>
      <c r="C2" s="486"/>
      <c r="D2" s="486"/>
      <c r="E2" s="486"/>
      <c r="F2" s="486"/>
      <c r="G2" s="90"/>
    </row>
    <row r="3" spans="1:9" ht="15" hidden="1" customHeight="1" x14ac:dyDescent="0.25">
      <c r="A3" s="485"/>
      <c r="B3" s="485"/>
      <c r="C3" s="485"/>
      <c r="D3" s="485"/>
      <c r="E3" s="90"/>
      <c r="F3" s="90"/>
      <c r="G3" s="90"/>
    </row>
    <row r="4" spans="1:9" ht="15" hidden="1" customHeight="1" x14ac:dyDescent="0.25">
      <c r="A4" s="485" t="s">
        <v>173</v>
      </c>
      <c r="B4" s="485"/>
      <c r="C4" s="485"/>
      <c r="D4" s="485"/>
      <c r="E4" s="90"/>
      <c r="F4" s="90"/>
      <c r="G4" s="90"/>
    </row>
    <row r="5" spans="1:9" ht="15" hidden="1" customHeight="1" x14ac:dyDescent="0.25">
      <c r="A5" s="485" t="s">
        <v>174</v>
      </c>
      <c r="B5" s="485"/>
      <c r="C5" s="485"/>
      <c r="D5" s="485"/>
      <c r="E5" s="90"/>
      <c r="F5" s="90"/>
      <c r="G5" s="90"/>
    </row>
    <row r="6" spans="1:9" ht="15" hidden="1" customHeight="1" x14ac:dyDescent="0.25">
      <c r="A6" s="485"/>
      <c r="B6" s="485"/>
      <c r="C6" s="485"/>
      <c r="D6" s="485"/>
      <c r="E6" s="485"/>
      <c r="F6" s="90"/>
      <c r="G6" s="90"/>
    </row>
    <row r="7" spans="1:9" ht="21.75" hidden="1" customHeight="1" x14ac:dyDescent="0.25">
      <c r="A7" s="485" t="s">
        <v>175</v>
      </c>
      <c r="B7" s="485"/>
      <c r="C7" s="90"/>
      <c r="D7" s="90"/>
      <c r="E7" s="90"/>
      <c r="F7" s="90"/>
      <c r="G7" s="90"/>
    </row>
    <row r="8" spans="1:9" ht="15" hidden="1" customHeight="1" x14ac:dyDescent="0.25">
      <c r="A8" s="485"/>
      <c r="B8" s="485"/>
      <c r="C8" s="485"/>
      <c r="D8" s="90"/>
      <c r="E8" s="90"/>
      <c r="F8" s="90"/>
      <c r="G8" s="90"/>
    </row>
    <row r="9" spans="1:9" ht="27" hidden="1" customHeight="1" x14ac:dyDescent="0.25">
      <c r="A9" s="485" t="s">
        <v>176</v>
      </c>
      <c r="B9" s="485"/>
      <c r="C9" s="73"/>
      <c r="D9" s="73"/>
      <c r="E9" s="73"/>
      <c r="F9" s="73"/>
      <c r="G9" s="73"/>
    </row>
    <row r="10" spans="1:9" hidden="1" x14ac:dyDescent="0.25">
      <c r="A10" s="72"/>
      <c r="B10" s="73"/>
      <c r="C10" s="73"/>
      <c r="D10" s="73"/>
      <c r="E10" s="73"/>
      <c r="F10" s="73"/>
      <c r="G10" s="73"/>
    </row>
    <row r="11" spans="1:9" hidden="1" x14ac:dyDescent="0.25">
      <c r="A11" s="72"/>
      <c r="B11" s="73"/>
      <c r="C11" s="73"/>
      <c r="D11" s="73"/>
      <c r="E11" s="73"/>
      <c r="F11" s="73"/>
      <c r="G11" s="73"/>
    </row>
    <row r="12" spans="1:9" ht="27" hidden="1" customHeight="1" x14ac:dyDescent="0.25">
      <c r="A12" s="487" t="s">
        <v>177</v>
      </c>
      <c r="B12" s="487"/>
      <c r="C12" s="487"/>
      <c r="D12" s="487"/>
      <c r="E12" s="487"/>
      <c r="F12" s="487"/>
      <c r="G12" s="487"/>
      <c r="H12" s="487"/>
      <c r="I12" s="487"/>
    </row>
    <row r="13" spans="1:9" hidden="1" x14ac:dyDescent="0.25">
      <c r="A13" s="483" t="s">
        <v>178</v>
      </c>
      <c r="B13" s="486"/>
      <c r="C13" s="486"/>
      <c r="D13" s="486"/>
      <c r="E13" s="486"/>
      <c r="F13" s="486"/>
      <c r="G13" s="90"/>
    </row>
    <row r="14" spans="1:9" hidden="1" x14ac:dyDescent="0.25">
      <c r="A14" s="483" t="s">
        <v>179</v>
      </c>
      <c r="B14" s="486"/>
      <c r="C14" s="486"/>
      <c r="D14" s="486"/>
      <c r="E14" s="486"/>
      <c r="F14" s="486"/>
      <c r="G14" s="90"/>
    </row>
    <row r="15" spans="1:9" hidden="1" x14ac:dyDescent="0.25">
      <c r="A15" s="483" t="s">
        <v>180</v>
      </c>
      <c r="B15" s="483"/>
      <c r="C15" s="483"/>
      <c r="D15" s="483"/>
      <c r="E15" s="484"/>
      <c r="F15" s="484"/>
      <c r="G15" s="90"/>
    </row>
    <row r="16" spans="1:9" hidden="1" x14ac:dyDescent="0.25">
      <c r="A16" s="75" t="s">
        <v>181</v>
      </c>
      <c r="B16" s="76" t="s">
        <v>182</v>
      </c>
      <c r="C16" s="77" t="s">
        <v>183</v>
      </c>
      <c r="D16" s="75"/>
    </row>
    <row r="17" spans="1:25" hidden="1" x14ac:dyDescent="0.25">
      <c r="A17" s="75" t="s">
        <v>184</v>
      </c>
      <c r="B17" s="488" t="s">
        <v>185</v>
      </c>
      <c r="C17" s="489"/>
      <c r="D17" s="75"/>
    </row>
    <row r="18" spans="1:25" ht="31.5" hidden="1" customHeight="1" x14ac:dyDescent="0.25">
      <c r="A18" s="74" t="s">
        <v>186</v>
      </c>
      <c r="B18" s="78" t="s">
        <v>187</v>
      </c>
      <c r="C18" s="78"/>
      <c r="D18" s="488" t="s">
        <v>188</v>
      </c>
      <c r="E18" s="488"/>
      <c r="F18" s="78"/>
      <c r="G18" s="78"/>
    </row>
    <row r="19" spans="1:25" ht="47.25" hidden="1" customHeight="1" x14ac:dyDescent="0.25">
      <c r="A19" s="483" t="s">
        <v>189</v>
      </c>
      <c r="B19" s="483"/>
      <c r="C19" s="483"/>
      <c r="D19" s="78"/>
      <c r="E19" s="78"/>
      <c r="F19" s="78"/>
      <c r="G19" s="78"/>
    </row>
    <row r="20" spans="1:25" ht="25.5" hidden="1" customHeight="1" x14ac:dyDescent="0.25">
      <c r="A20" s="490" t="s">
        <v>190</v>
      </c>
      <c r="B20" s="490"/>
      <c r="C20" s="490"/>
      <c r="D20" s="490"/>
      <c r="E20" s="490"/>
      <c r="F20" s="490"/>
      <c r="G20" s="490"/>
      <c r="H20" s="490"/>
      <c r="I20" s="490"/>
    </row>
    <row r="21" spans="1:25" hidden="1" x14ac:dyDescent="0.25">
      <c r="A21" s="484" t="s">
        <v>191</v>
      </c>
      <c r="B21" s="486"/>
      <c r="C21" s="483" t="s">
        <v>192</v>
      </c>
      <c r="D21" s="486"/>
      <c r="E21" s="483" t="s">
        <v>193</v>
      </c>
      <c r="F21" s="483"/>
      <c r="G21" s="90"/>
    </row>
    <row r="22" spans="1:25" ht="47.25" hidden="1" customHeight="1" x14ac:dyDescent="0.25">
      <c r="A22" s="483" t="s">
        <v>194</v>
      </c>
      <c r="B22" s="486"/>
      <c r="C22" s="485" t="s">
        <v>195</v>
      </c>
      <c r="D22" s="485"/>
      <c r="E22" s="484"/>
      <c r="F22" s="484"/>
      <c r="G22" s="90"/>
    </row>
    <row r="23" spans="1:25" hidden="1" x14ac:dyDescent="0.25">
      <c r="A23" s="483" t="s">
        <v>196</v>
      </c>
      <c r="B23" s="483"/>
      <c r="C23" s="483"/>
      <c r="D23" s="483"/>
      <c r="E23" s="483" t="s">
        <v>197</v>
      </c>
      <c r="F23" s="483"/>
      <c r="G23" s="90"/>
    </row>
    <row r="24" spans="1:25" hidden="1" x14ac:dyDescent="0.25">
      <c r="A24" s="483"/>
      <c r="B24" s="486"/>
      <c r="C24" s="486"/>
      <c r="D24" s="486"/>
      <c r="E24" s="486"/>
      <c r="F24" s="486"/>
      <c r="G24" s="90"/>
    </row>
    <row r="25" spans="1:25" ht="15" hidden="1" customHeight="1" x14ac:dyDescent="0.25">
      <c r="A25" s="79"/>
    </row>
    <row r="26" spans="1:25" hidden="1" x14ac:dyDescent="0.25">
      <c r="A26" s="91"/>
    </row>
    <row r="27" spans="1:25" ht="15.75" customHeight="1" x14ac:dyDescent="0.25">
      <c r="A27" s="491" t="s">
        <v>202</v>
      </c>
      <c r="B27" s="491"/>
      <c r="C27" s="491"/>
      <c r="D27" s="491"/>
      <c r="E27" s="491"/>
      <c r="F27" s="491"/>
      <c r="G27" s="491"/>
      <c r="H27" s="491"/>
      <c r="I27" s="491"/>
    </row>
    <row r="28" spans="1:25" ht="45" customHeight="1" x14ac:dyDescent="0.25">
      <c r="A28" s="492" t="s">
        <v>198</v>
      </c>
      <c r="B28" s="492"/>
      <c r="C28" s="80" t="s">
        <v>199</v>
      </c>
      <c r="D28" s="81" t="s">
        <v>206</v>
      </c>
      <c r="E28" s="80" t="s">
        <v>200</v>
      </c>
      <c r="F28" s="80" t="s">
        <v>203</v>
      </c>
      <c r="G28" s="81" t="s">
        <v>201</v>
      </c>
      <c r="H28" s="80" t="s">
        <v>209</v>
      </c>
      <c r="I28" s="80" t="s">
        <v>210</v>
      </c>
      <c r="J28" s="93"/>
      <c r="K28" s="93"/>
    </row>
    <row r="29" spans="1:25" ht="45" customHeight="1" x14ac:dyDescent="0.25">
      <c r="A29" s="82">
        <v>1</v>
      </c>
      <c r="B29" s="85" t="s">
        <v>118</v>
      </c>
      <c r="C29" s="83">
        <f>'Vigilante 5x2'!E132</f>
        <v>7563.79</v>
      </c>
      <c r="D29" s="84">
        <v>2</v>
      </c>
      <c r="E29" s="83">
        <f t="shared" ref="E29:E33" si="0">C29*D29</f>
        <v>15127.58</v>
      </c>
      <c r="F29" s="85">
        <v>1</v>
      </c>
      <c r="G29" s="84">
        <f>D29*F29</f>
        <v>2</v>
      </c>
      <c r="H29" s="83">
        <f>ROUND(F29*E29,2)</f>
        <v>15127.58</v>
      </c>
      <c r="I29" s="94">
        <f>ROUND(H29*12,2)</f>
        <v>181530.96</v>
      </c>
      <c r="J29" s="210"/>
      <c r="K29" s="93"/>
      <c r="L29" s="93"/>
      <c r="N29" s="93"/>
      <c r="R29" s="95"/>
      <c r="S29" s="93"/>
      <c r="T29" s="93"/>
      <c r="U29" s="93"/>
      <c r="X29" s="96"/>
      <c r="Y29" s="96"/>
    </row>
    <row r="30" spans="1:25" ht="45" customHeight="1" x14ac:dyDescent="0.25">
      <c r="A30" s="82">
        <v>2</v>
      </c>
      <c r="B30" s="85" t="s">
        <v>204</v>
      </c>
      <c r="C30" s="83">
        <f>'Supervisor 5x2'!E132</f>
        <v>8817.3799999999992</v>
      </c>
      <c r="D30" s="84">
        <v>1</v>
      </c>
      <c r="E30" s="83">
        <f t="shared" si="0"/>
        <v>8817.3799999999992</v>
      </c>
      <c r="F30" s="85">
        <v>1</v>
      </c>
      <c r="G30" s="84">
        <f>D30*F30</f>
        <v>1</v>
      </c>
      <c r="H30" s="83">
        <f>ROUND(F30*E30,2)</f>
        <v>8817.3799999999992</v>
      </c>
      <c r="I30" s="94">
        <f>ROUND(H30*12,2)+0.02</f>
        <v>105808.58</v>
      </c>
      <c r="J30" s="210"/>
      <c r="K30" s="93"/>
      <c r="L30" s="93"/>
      <c r="N30" s="93"/>
      <c r="R30" s="95"/>
      <c r="S30" s="93"/>
      <c r="T30" s="93"/>
      <c r="U30" s="93"/>
      <c r="X30" s="96"/>
      <c r="Y30" s="96"/>
    </row>
    <row r="31" spans="1:25" ht="45" customHeight="1" x14ac:dyDescent="0.25">
      <c r="A31" s="82">
        <v>3</v>
      </c>
      <c r="B31" s="85" t="s">
        <v>205</v>
      </c>
      <c r="C31" s="83">
        <f>'Vigilante 12x36 Diurno'!E132</f>
        <v>7140.11</v>
      </c>
      <c r="D31" s="84">
        <v>5</v>
      </c>
      <c r="E31" s="83">
        <f>C31*D31</f>
        <v>35700.549999999996</v>
      </c>
      <c r="F31" s="85">
        <v>2</v>
      </c>
      <c r="G31" s="84">
        <f>D31*F31</f>
        <v>10</v>
      </c>
      <c r="H31" s="83">
        <f>ROUND(F31*E31,2)</f>
        <v>71401.100000000006</v>
      </c>
      <c r="I31" s="94">
        <f t="shared" ref="I31:I33" si="1">ROUND(H31*12,2)</f>
        <v>856813.2</v>
      </c>
      <c r="J31" s="210"/>
      <c r="K31" s="93"/>
      <c r="L31" s="93"/>
      <c r="N31" s="93"/>
      <c r="R31" s="95"/>
      <c r="S31" s="93"/>
      <c r="T31" s="93"/>
      <c r="U31" s="93"/>
      <c r="X31" s="96"/>
      <c r="Y31" s="96"/>
    </row>
    <row r="32" spans="1:25" ht="45" customHeight="1" x14ac:dyDescent="0.25">
      <c r="A32" s="82">
        <v>4</v>
      </c>
      <c r="B32" s="85" t="s">
        <v>207</v>
      </c>
      <c r="C32" s="83">
        <f>'Supervisor 12x36 Noturno'!E132</f>
        <v>9240.42</v>
      </c>
      <c r="D32" s="84">
        <v>1</v>
      </c>
      <c r="E32" s="83">
        <f>ROUND(C32*D32,2)</f>
        <v>9240.42</v>
      </c>
      <c r="F32" s="85">
        <v>2</v>
      </c>
      <c r="G32" s="84">
        <f>D32*F32</f>
        <v>2</v>
      </c>
      <c r="H32" s="83">
        <f>(F32*E32)+0.01</f>
        <v>18480.849999999999</v>
      </c>
      <c r="I32" s="94">
        <f t="shared" si="1"/>
        <v>221770.2</v>
      </c>
      <c r="J32" s="210"/>
      <c r="K32" s="93"/>
      <c r="L32" s="93"/>
      <c r="N32" s="93"/>
      <c r="R32" s="95"/>
      <c r="S32" s="93"/>
      <c r="T32" s="93"/>
      <c r="U32" s="93"/>
      <c r="X32" s="96"/>
      <c r="Y32" s="96"/>
    </row>
    <row r="33" spans="1:25" ht="45" customHeight="1" x14ac:dyDescent="0.25">
      <c r="A33" s="82">
        <v>5</v>
      </c>
      <c r="B33" s="85" t="s">
        <v>208</v>
      </c>
      <c r="C33" s="83">
        <f>'Vigilante 12x36 Noturno'!E132</f>
        <v>7825.77</v>
      </c>
      <c r="D33" s="84">
        <v>3</v>
      </c>
      <c r="E33" s="83">
        <f t="shared" si="0"/>
        <v>23477.31</v>
      </c>
      <c r="F33" s="85">
        <v>2</v>
      </c>
      <c r="G33" s="84">
        <f>D33*F33</f>
        <v>6</v>
      </c>
      <c r="H33" s="83">
        <f>ROUND(F33*E33,2)</f>
        <v>46954.62</v>
      </c>
      <c r="I33" s="94">
        <f t="shared" si="1"/>
        <v>563455.43999999994</v>
      </c>
      <c r="J33" s="210"/>
      <c r="K33" s="93"/>
      <c r="L33" s="93"/>
      <c r="N33" s="93"/>
      <c r="R33" s="95"/>
      <c r="S33" s="93"/>
      <c r="T33" s="93"/>
      <c r="U33" s="93"/>
      <c r="X33" s="96"/>
      <c r="Y33" s="96"/>
    </row>
    <row r="34" spans="1:25" ht="15.75" customHeight="1" x14ac:dyDescent="0.25">
      <c r="A34" s="86"/>
      <c r="B34" s="87"/>
      <c r="C34" s="87"/>
      <c r="D34" s="88">
        <f>SUM(D29:D33)</f>
        <v>12</v>
      </c>
      <c r="E34" s="87"/>
      <c r="F34" s="87"/>
      <c r="G34" s="89">
        <f>SUM(G29:G33)</f>
        <v>21</v>
      </c>
      <c r="H34" s="99">
        <f>SUM(H29:H33)</f>
        <v>160781.53</v>
      </c>
      <c r="I34" s="100">
        <f>SUM(I29:I33)</f>
        <v>1929378.38</v>
      </c>
      <c r="J34" s="93"/>
      <c r="K34" s="93"/>
      <c r="L34" s="93"/>
      <c r="R34" s="93">
        <f>SUM(R29:R29)</f>
        <v>0</v>
      </c>
      <c r="S34" s="93">
        <f>SUM(S29:S29)</f>
        <v>0</v>
      </c>
      <c r="T34" s="93">
        <f>SUM(T29:T29)</f>
        <v>0</v>
      </c>
    </row>
    <row r="35" spans="1:25" s="92" customFormat="1" ht="15.75" customHeight="1" x14ac:dyDescent="0.25">
      <c r="A35" s="39"/>
      <c r="B35" s="39"/>
      <c r="C35" s="39"/>
      <c r="D35" s="39"/>
      <c r="E35" s="39"/>
      <c r="F35" s="39"/>
      <c r="G35" s="39"/>
      <c r="H35" s="39"/>
      <c r="I35" s="39"/>
      <c r="J35" s="91"/>
      <c r="K35" s="91"/>
      <c r="L35" s="91"/>
      <c r="M35" s="91"/>
      <c r="N35" s="91"/>
      <c r="O35" s="91"/>
      <c r="P35" s="91"/>
      <c r="R35" s="91"/>
      <c r="S35" s="91"/>
      <c r="T35" s="91"/>
      <c r="U35" s="91"/>
      <c r="V35" s="91"/>
      <c r="W35" s="91"/>
      <c r="X35" s="91"/>
      <c r="Y35" s="91"/>
    </row>
    <row r="36" spans="1:25" s="92" customFormat="1" ht="21.75" customHeight="1" x14ac:dyDescent="0.25">
      <c r="A36" s="39" t="s">
        <v>219</v>
      </c>
      <c r="B36" s="39"/>
      <c r="C36" s="39"/>
      <c r="D36" s="39"/>
      <c r="E36" s="39"/>
      <c r="F36" s="39"/>
      <c r="G36" s="39"/>
      <c r="H36" s="97"/>
      <c r="I36" s="39"/>
      <c r="J36" s="91"/>
      <c r="K36" s="91"/>
      <c r="L36" s="91"/>
      <c r="M36" s="91"/>
      <c r="N36" s="91"/>
      <c r="O36" s="91"/>
      <c r="P36" s="93">
        <f>I36*12</f>
        <v>0</v>
      </c>
      <c r="R36" s="91"/>
      <c r="S36" s="91"/>
      <c r="T36" s="91"/>
      <c r="U36" s="91"/>
      <c r="V36" s="91"/>
      <c r="W36" s="91"/>
      <c r="X36" s="91"/>
      <c r="Y36" s="91"/>
    </row>
    <row r="37" spans="1:25" s="92" customFormat="1" ht="33" hidden="1" customHeight="1" x14ac:dyDescent="0.25">
      <c r="A37" s="39"/>
      <c r="B37" s="39"/>
      <c r="C37" s="39"/>
      <c r="D37" s="39"/>
      <c r="E37" s="39"/>
      <c r="F37" s="39"/>
      <c r="G37" s="39"/>
      <c r="H37" s="39"/>
      <c r="I37" s="39"/>
      <c r="J37" s="91"/>
      <c r="K37" s="91"/>
      <c r="L37" s="91"/>
      <c r="M37" s="91"/>
      <c r="N37" s="91"/>
      <c r="O37" s="91"/>
      <c r="P37" s="91"/>
      <c r="R37" s="91"/>
      <c r="S37" s="91"/>
      <c r="T37" s="91"/>
      <c r="U37" s="91"/>
      <c r="V37" s="91"/>
      <c r="W37" s="91"/>
      <c r="X37" s="91"/>
      <c r="Y37" s="91"/>
    </row>
    <row r="38" spans="1:25" s="92" customFormat="1" ht="44.25" hidden="1" customHeight="1" x14ac:dyDescent="0.25">
      <c r="A38" s="39"/>
      <c r="B38" s="39"/>
      <c r="C38" s="39"/>
      <c r="D38" s="39"/>
      <c r="E38" s="39"/>
      <c r="F38" s="39"/>
      <c r="G38" s="39"/>
      <c r="H38" s="39"/>
      <c r="I38" s="39"/>
      <c r="J38" s="91"/>
      <c r="K38" s="91"/>
      <c r="L38" s="91"/>
      <c r="M38" s="91"/>
      <c r="N38" s="91"/>
      <c r="O38" s="91"/>
      <c r="P38" s="91"/>
      <c r="R38" s="91"/>
      <c r="S38" s="91"/>
      <c r="T38" s="91"/>
      <c r="U38" s="91"/>
      <c r="V38" s="91"/>
      <c r="W38" s="91"/>
      <c r="X38" s="91"/>
      <c r="Y38" s="91"/>
    </row>
    <row r="39" spans="1:25" s="92" customFormat="1" ht="42" hidden="1" customHeight="1" x14ac:dyDescent="0.25">
      <c r="A39" s="39"/>
      <c r="B39" s="39"/>
      <c r="C39" s="39"/>
      <c r="D39" s="39"/>
      <c r="E39" s="39"/>
      <c r="F39" s="39"/>
      <c r="G39" s="39"/>
      <c r="H39" s="39"/>
      <c r="I39" s="39"/>
      <c r="J39" s="91"/>
      <c r="K39" s="91"/>
      <c r="L39" s="91"/>
      <c r="M39" s="91"/>
      <c r="N39" s="91"/>
      <c r="O39" s="91"/>
      <c r="P39" s="91"/>
      <c r="R39" s="91"/>
      <c r="S39" s="91"/>
      <c r="T39" s="91"/>
      <c r="U39" s="91"/>
      <c r="V39" s="91"/>
      <c r="W39" s="91"/>
      <c r="X39" s="91"/>
      <c r="Y39" s="91"/>
    </row>
    <row r="40" spans="1:25" s="92" customFormat="1" ht="5.25" hidden="1" customHeight="1" x14ac:dyDescent="0.25">
      <c r="A40" s="39"/>
      <c r="B40" s="39"/>
      <c r="C40" s="39"/>
      <c r="D40" s="39"/>
      <c r="E40" s="39"/>
      <c r="F40" s="39"/>
      <c r="G40" s="39"/>
      <c r="H40" s="39"/>
      <c r="I40" s="39"/>
      <c r="J40" s="91"/>
      <c r="K40" s="91"/>
      <c r="L40" s="91"/>
      <c r="M40" s="91"/>
      <c r="N40" s="91"/>
      <c r="O40" s="91"/>
      <c r="P40" s="91"/>
      <c r="R40" s="91"/>
      <c r="S40" s="91"/>
      <c r="T40" s="91"/>
      <c r="U40" s="91"/>
      <c r="V40" s="91"/>
      <c r="W40" s="91"/>
      <c r="X40" s="91"/>
      <c r="Y40" s="91"/>
    </row>
    <row r="41" spans="1:25" s="92" customFormat="1" ht="0.75" hidden="1" customHeight="1" x14ac:dyDescent="0.25">
      <c r="A41" s="39"/>
      <c r="B41" s="39"/>
      <c r="C41" s="39"/>
      <c r="D41" s="39"/>
      <c r="E41" s="39"/>
      <c r="F41" s="39"/>
      <c r="G41" s="39"/>
      <c r="H41" s="39"/>
      <c r="I41" s="39"/>
      <c r="J41" s="91"/>
      <c r="K41" s="91"/>
      <c r="L41" s="91"/>
      <c r="M41" s="91"/>
      <c r="N41" s="91"/>
      <c r="O41" s="91"/>
      <c r="P41" s="91"/>
      <c r="R41" s="91"/>
      <c r="S41" s="91"/>
      <c r="T41" s="91"/>
      <c r="U41" s="91"/>
      <c r="V41" s="91"/>
      <c r="W41" s="91"/>
      <c r="X41" s="91"/>
      <c r="Y41" s="91"/>
    </row>
    <row r="42" spans="1:25" s="92" customFormat="1" ht="15.75" hidden="1" customHeight="1" x14ac:dyDescent="0.25">
      <c r="A42" s="39"/>
      <c r="B42" s="39"/>
      <c r="C42" s="39"/>
      <c r="D42" s="39"/>
      <c r="E42" s="39"/>
      <c r="F42" s="39"/>
      <c r="G42" s="39"/>
      <c r="H42" s="39"/>
      <c r="I42" s="39"/>
      <c r="J42" s="91"/>
      <c r="K42" s="91"/>
      <c r="L42" s="91"/>
      <c r="M42" s="91"/>
      <c r="N42" s="91"/>
      <c r="O42" s="91"/>
      <c r="P42" s="91"/>
      <c r="R42" s="91"/>
      <c r="S42" s="91"/>
      <c r="T42" s="91"/>
      <c r="U42" s="91"/>
      <c r="V42" s="91"/>
      <c r="W42" s="91"/>
      <c r="X42" s="91"/>
      <c r="Y42" s="91"/>
    </row>
    <row r="43" spans="1:25" s="92" customFormat="1" ht="15" hidden="1" customHeight="1" x14ac:dyDescent="0.25">
      <c r="A43" s="39"/>
      <c r="B43" s="39"/>
      <c r="C43" s="39"/>
      <c r="D43" s="39"/>
      <c r="E43" s="39"/>
      <c r="F43" s="39"/>
      <c r="G43" s="39"/>
      <c r="H43" s="39"/>
      <c r="I43" s="39"/>
      <c r="J43" s="91"/>
      <c r="K43" s="91"/>
      <c r="L43" s="91"/>
      <c r="M43" s="91"/>
      <c r="N43" s="91"/>
      <c r="O43" s="91"/>
      <c r="P43" s="91"/>
      <c r="R43" s="91"/>
      <c r="S43" s="91"/>
      <c r="T43" s="91"/>
      <c r="U43" s="91"/>
      <c r="V43" s="91"/>
      <c r="W43" s="91"/>
      <c r="X43" s="91"/>
      <c r="Y43" s="91"/>
    </row>
    <row r="44" spans="1:25" s="92" customFormat="1" hidden="1" x14ac:dyDescent="0.25">
      <c r="A44" s="39"/>
      <c r="B44" s="39"/>
      <c r="C44" s="39"/>
      <c r="D44" s="39"/>
      <c r="E44" s="39"/>
      <c r="F44" s="39"/>
      <c r="G44" s="39"/>
      <c r="H44" s="39"/>
      <c r="I44" s="39"/>
      <c r="J44" s="91"/>
      <c r="K44" s="91"/>
      <c r="L44" s="91"/>
      <c r="M44" s="91"/>
      <c r="N44" s="91"/>
      <c r="O44" s="91"/>
      <c r="P44" s="91"/>
      <c r="R44" s="91"/>
      <c r="S44" s="91"/>
      <c r="T44" s="91"/>
      <c r="U44" s="91"/>
      <c r="V44" s="91"/>
      <c r="W44" s="91"/>
      <c r="X44" s="91"/>
      <c r="Y44" s="91"/>
    </row>
    <row r="45" spans="1:25" s="92" customFormat="1" ht="46.5" hidden="1" customHeight="1" x14ac:dyDescent="0.25">
      <c r="A45" s="39"/>
      <c r="B45" s="39"/>
      <c r="C45" s="39"/>
      <c r="D45" s="39"/>
      <c r="E45" s="39"/>
      <c r="F45" s="39"/>
      <c r="G45" s="39"/>
      <c r="H45" s="39"/>
      <c r="I45" s="39"/>
      <c r="J45" s="91"/>
      <c r="K45" s="91"/>
      <c r="L45" s="91"/>
      <c r="M45" s="91"/>
      <c r="N45" s="91"/>
      <c r="O45" s="91"/>
      <c r="P45" s="91"/>
      <c r="R45" s="91"/>
      <c r="S45" s="91"/>
      <c r="T45" s="91"/>
      <c r="U45" s="91"/>
      <c r="V45" s="91"/>
      <c r="W45" s="91"/>
      <c r="X45" s="91"/>
      <c r="Y45" s="91"/>
    </row>
    <row r="46" spans="1:25" s="92" customFormat="1" ht="31.5" hidden="1" customHeight="1" x14ac:dyDescent="0.25">
      <c r="A46" s="39"/>
      <c r="B46" s="39"/>
      <c r="C46" s="39"/>
      <c r="D46" s="39"/>
      <c r="E46" s="39"/>
      <c r="F46" s="39"/>
      <c r="G46" s="39"/>
      <c r="H46" s="39"/>
      <c r="I46" s="39"/>
      <c r="J46" s="91"/>
      <c r="K46" s="91"/>
      <c r="L46" s="91"/>
      <c r="M46" s="91"/>
      <c r="N46" s="91"/>
      <c r="O46" s="91"/>
      <c r="P46" s="91"/>
      <c r="R46" s="91"/>
      <c r="S46" s="91"/>
      <c r="T46" s="91"/>
      <c r="U46" s="91"/>
      <c r="V46" s="91"/>
      <c r="W46" s="91"/>
      <c r="X46" s="91"/>
      <c r="Y46" s="91"/>
    </row>
    <row r="47" spans="1:25" s="92" customFormat="1" ht="34.5" hidden="1" customHeight="1" x14ac:dyDescent="0.25">
      <c r="A47" s="39"/>
      <c r="B47" s="39"/>
      <c r="C47" s="39"/>
      <c r="D47" s="39"/>
      <c r="E47" s="39"/>
      <c r="F47" s="39"/>
      <c r="G47" s="39"/>
      <c r="H47" s="39"/>
      <c r="I47" s="39"/>
      <c r="J47" s="91"/>
      <c r="K47" s="91"/>
      <c r="L47" s="91"/>
      <c r="M47" s="91"/>
      <c r="N47" s="91"/>
      <c r="O47" s="91"/>
      <c r="P47" s="91"/>
      <c r="R47" s="91"/>
      <c r="S47" s="91"/>
      <c r="T47" s="91"/>
      <c r="U47" s="91"/>
      <c r="V47" s="91"/>
      <c r="W47" s="91"/>
      <c r="X47" s="91"/>
      <c r="Y47" s="91"/>
    </row>
    <row r="48" spans="1:25" s="92" customFormat="1" ht="47.25" hidden="1" customHeight="1" x14ac:dyDescent="0.25">
      <c r="A48" s="39"/>
      <c r="B48" s="39"/>
      <c r="C48" s="39"/>
      <c r="D48" s="39"/>
      <c r="E48" s="39"/>
      <c r="F48" s="39"/>
      <c r="G48" s="39"/>
      <c r="H48" s="39"/>
      <c r="I48" s="39"/>
      <c r="J48" s="91"/>
      <c r="K48" s="91"/>
      <c r="L48" s="91"/>
      <c r="M48" s="91"/>
      <c r="N48" s="91"/>
      <c r="O48" s="91"/>
      <c r="P48" s="91"/>
      <c r="R48" s="91"/>
      <c r="S48" s="91"/>
      <c r="T48" s="91"/>
      <c r="U48" s="91"/>
      <c r="V48" s="91"/>
      <c r="W48" s="91"/>
      <c r="X48" s="91"/>
      <c r="Y48" s="91"/>
    </row>
    <row r="49" spans="1:25" s="92" customFormat="1" ht="34.5" hidden="1" customHeight="1" x14ac:dyDescent="0.25">
      <c r="A49" s="39"/>
      <c r="B49" s="39"/>
      <c r="C49" s="39"/>
      <c r="D49" s="39"/>
      <c r="E49" s="39"/>
      <c r="F49" s="39"/>
      <c r="G49" s="39"/>
      <c r="H49" s="39"/>
      <c r="I49" s="39"/>
      <c r="J49" s="91"/>
      <c r="K49" s="91"/>
      <c r="L49" s="91"/>
      <c r="M49" s="91"/>
      <c r="N49" s="91"/>
      <c r="O49" s="91"/>
      <c r="P49" s="91"/>
      <c r="R49" s="91"/>
      <c r="S49" s="91"/>
      <c r="T49" s="91"/>
      <c r="U49" s="91"/>
      <c r="V49" s="91"/>
      <c r="W49" s="91"/>
      <c r="X49" s="91"/>
      <c r="Y49" s="91"/>
    </row>
    <row r="50" spans="1:25" s="92" customFormat="1" ht="34.5" hidden="1" customHeight="1" x14ac:dyDescent="0.25">
      <c r="A50" s="39"/>
      <c r="B50" s="39"/>
      <c r="C50" s="39"/>
      <c r="D50" s="39"/>
      <c r="E50" s="39"/>
      <c r="F50" s="39"/>
      <c r="G50" s="39"/>
      <c r="H50" s="39"/>
      <c r="I50" s="39"/>
      <c r="J50" s="91"/>
      <c r="K50" s="91"/>
      <c r="L50" s="91"/>
      <c r="M50" s="91"/>
      <c r="N50" s="91"/>
      <c r="O50" s="91"/>
      <c r="P50" s="91"/>
      <c r="R50" s="91"/>
      <c r="S50" s="91"/>
      <c r="T50" s="91"/>
      <c r="U50" s="91"/>
      <c r="V50" s="91"/>
      <c r="W50" s="91"/>
      <c r="X50" s="91"/>
      <c r="Y50" s="91"/>
    </row>
    <row r="51" spans="1:25" ht="34.5" hidden="1" customHeight="1" x14ac:dyDescent="0.25">
      <c r="A51" s="39"/>
      <c r="B51" s="39"/>
      <c r="C51" s="39"/>
      <c r="D51" s="39"/>
      <c r="E51" s="39"/>
      <c r="F51" s="39"/>
      <c r="G51" s="39"/>
      <c r="H51" s="39"/>
      <c r="I51" s="39"/>
    </row>
    <row r="52" spans="1:25" ht="34.5" hidden="1" customHeight="1" x14ac:dyDescent="0.25">
      <c r="A52" s="39"/>
      <c r="B52" s="39"/>
      <c r="C52" s="39"/>
      <c r="D52" s="39"/>
      <c r="E52" s="39"/>
      <c r="F52" s="39"/>
      <c r="G52" s="39"/>
      <c r="H52" s="39"/>
      <c r="I52" s="39"/>
    </row>
    <row r="53" spans="1:25" ht="34.5" hidden="1" customHeight="1" x14ac:dyDescent="0.25">
      <c r="A53" s="39"/>
      <c r="B53" s="39"/>
      <c r="C53" s="39"/>
      <c r="D53" s="39"/>
      <c r="E53" s="39"/>
      <c r="F53" s="39"/>
      <c r="G53" s="39"/>
      <c r="H53" s="39"/>
      <c r="I53" s="39"/>
    </row>
    <row r="54" spans="1:25" ht="34.5" hidden="1" customHeight="1" x14ac:dyDescent="0.25">
      <c r="A54" s="39"/>
      <c r="B54" s="39"/>
      <c r="C54" s="39"/>
      <c r="D54" s="39"/>
      <c r="E54" s="39"/>
      <c r="F54" s="39"/>
      <c r="G54" s="39"/>
      <c r="H54" s="39"/>
      <c r="I54" s="39"/>
    </row>
    <row r="55" spans="1:25" ht="44.25" hidden="1" customHeight="1" x14ac:dyDescent="0.25">
      <c r="A55" s="39"/>
      <c r="B55" s="39"/>
      <c r="C55" s="39"/>
      <c r="D55" s="39"/>
      <c r="E55" s="39"/>
      <c r="F55" s="39"/>
      <c r="G55" s="39"/>
      <c r="H55" s="39"/>
      <c r="I55" s="39"/>
    </row>
    <row r="56" spans="1:25" ht="44.25" hidden="1" customHeight="1" x14ac:dyDescent="0.25">
      <c r="A56" s="39"/>
      <c r="B56" s="39"/>
      <c r="C56" s="39"/>
      <c r="D56" s="39"/>
      <c r="E56" s="39"/>
      <c r="F56" s="39"/>
      <c r="G56" s="39"/>
      <c r="H56" s="39"/>
      <c r="I56" s="39"/>
    </row>
    <row r="57" spans="1:25" ht="34.5" hidden="1" customHeight="1" x14ac:dyDescent="0.25">
      <c r="A57" s="39"/>
      <c r="B57" s="39"/>
      <c r="C57" s="39"/>
      <c r="D57" s="39"/>
      <c r="E57" s="39"/>
      <c r="F57" s="39"/>
      <c r="G57" s="39"/>
      <c r="H57" s="39"/>
      <c r="I57" s="39"/>
    </row>
    <row r="58" spans="1:25" ht="24.75" hidden="1" customHeight="1" x14ac:dyDescent="0.25">
      <c r="A58" s="39"/>
      <c r="B58" s="39"/>
      <c r="C58" s="39"/>
      <c r="D58" s="39"/>
      <c r="E58" s="39"/>
      <c r="F58" s="39"/>
      <c r="G58" s="39"/>
      <c r="H58" s="39"/>
      <c r="I58" s="39"/>
    </row>
    <row r="59" spans="1:25" ht="12.75" hidden="1" customHeight="1" x14ac:dyDescent="0.25">
      <c r="A59" s="39"/>
      <c r="B59" s="39"/>
      <c r="C59" s="39"/>
      <c r="D59" s="39"/>
      <c r="E59" s="39"/>
      <c r="F59" s="39"/>
      <c r="G59" s="39"/>
      <c r="H59" s="39"/>
      <c r="I59" s="39"/>
    </row>
    <row r="60" spans="1:25" ht="19.5" hidden="1" customHeight="1" x14ac:dyDescent="0.25">
      <c r="A60" s="39"/>
      <c r="B60" s="39"/>
      <c r="C60" s="39"/>
      <c r="D60" s="39"/>
      <c r="E60" s="39"/>
      <c r="F60" s="39"/>
      <c r="G60" s="39"/>
      <c r="H60" s="39"/>
      <c r="I60" s="39"/>
    </row>
    <row r="61" spans="1:25" hidden="1" x14ac:dyDescent="0.25">
      <c r="A61" s="39"/>
      <c r="B61" s="39"/>
      <c r="C61" s="39"/>
      <c r="D61" s="39"/>
      <c r="E61" s="39"/>
      <c r="F61" s="39"/>
      <c r="G61" s="39"/>
      <c r="H61" s="39"/>
      <c r="I61" s="39"/>
    </row>
    <row r="62" spans="1:25" hidden="1" x14ac:dyDescent="0.25">
      <c r="A62" s="39"/>
      <c r="B62" s="39"/>
      <c r="C62" s="39"/>
      <c r="D62" s="39"/>
      <c r="E62" s="39"/>
      <c r="F62" s="39"/>
      <c r="G62" s="39"/>
      <c r="H62" s="39"/>
      <c r="I62" s="39"/>
    </row>
    <row r="63" spans="1:25" x14ac:dyDescent="0.25">
      <c r="A63" s="39"/>
      <c r="B63" s="39"/>
      <c r="C63" s="39"/>
      <c r="D63" s="39"/>
      <c r="E63" s="39"/>
      <c r="F63" s="39"/>
      <c r="G63" s="39"/>
      <c r="H63" s="98"/>
      <c r="I63" s="39"/>
    </row>
    <row r="64" spans="1:25" x14ac:dyDescent="0.25">
      <c r="A64" s="39"/>
      <c r="B64" s="39"/>
      <c r="C64" s="39"/>
      <c r="D64" s="39"/>
      <c r="E64" s="39"/>
      <c r="F64" s="39"/>
      <c r="G64" s="39"/>
      <c r="H64" s="39"/>
      <c r="I64" s="39"/>
    </row>
    <row r="65" spans="1:9" x14ac:dyDescent="0.25">
      <c r="A65" s="39"/>
      <c r="B65" s="39"/>
      <c r="C65" s="39"/>
      <c r="D65" s="39"/>
      <c r="E65" s="39"/>
      <c r="F65" s="39"/>
      <c r="G65" s="39"/>
      <c r="H65" s="39"/>
      <c r="I65" s="39"/>
    </row>
    <row r="66" spans="1:9" x14ac:dyDescent="0.25">
      <c r="A66" s="39"/>
      <c r="B66" s="39"/>
      <c r="C66" s="39"/>
      <c r="D66" s="39"/>
      <c r="E66" s="39"/>
      <c r="F66" s="39"/>
      <c r="G66" s="39"/>
      <c r="H66" s="39"/>
      <c r="I66" s="39"/>
    </row>
    <row r="67" spans="1:9" x14ac:dyDescent="0.25">
      <c r="A67" s="39"/>
      <c r="B67" s="39"/>
      <c r="C67" s="39"/>
      <c r="D67" s="39"/>
      <c r="E67" s="39"/>
      <c r="F67" s="39"/>
      <c r="G67" s="39"/>
      <c r="H67" s="39"/>
      <c r="I67" s="39"/>
    </row>
  </sheetData>
  <mergeCells count="28">
    <mergeCell ref="A27:I27"/>
    <mergeCell ref="A28:B28"/>
    <mergeCell ref="A22:B22"/>
    <mergeCell ref="C22:D22"/>
    <mergeCell ref="E22:F22"/>
    <mergeCell ref="A23:D23"/>
    <mergeCell ref="E23:F23"/>
    <mergeCell ref="A24:F24"/>
    <mergeCell ref="B17:C17"/>
    <mergeCell ref="D18:E18"/>
    <mergeCell ref="A19:C19"/>
    <mergeCell ref="A20:I20"/>
    <mergeCell ref="A21:B21"/>
    <mergeCell ref="C21:D21"/>
    <mergeCell ref="E21:F21"/>
    <mergeCell ref="A15:D15"/>
    <mergeCell ref="E15:F15"/>
    <mergeCell ref="A2:F2"/>
    <mergeCell ref="A3:D3"/>
    <mergeCell ref="A4:D4"/>
    <mergeCell ref="A5:D5"/>
    <mergeCell ref="A6:E6"/>
    <mergeCell ref="A7:B7"/>
    <mergeCell ref="A8:C8"/>
    <mergeCell ref="A9:B9"/>
    <mergeCell ref="A12:I12"/>
    <mergeCell ref="A13:F13"/>
    <mergeCell ref="A14:F14"/>
  </mergeCells>
  <pageMargins left="0.51181102362204722" right="0.51181102362204722" top="0.78740157480314965" bottom="0.78740157480314965" header="0.31496062992125984" footer="0.31496062992125984"/>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74F31-760A-4A4B-99FC-FFB7CC46A1BE}">
  <sheetPr>
    <pageSetUpPr fitToPage="1"/>
  </sheetPr>
  <dimension ref="B1:F138"/>
  <sheetViews>
    <sheetView topLeftCell="A49" workbookViewId="0">
      <selection activeCell="D108" sqref="D108"/>
    </sheetView>
  </sheetViews>
  <sheetFormatPr defaultRowHeight="15" x14ac:dyDescent="0.25"/>
  <cols>
    <col min="2" max="2" width="17.85546875" customWidth="1"/>
    <col min="3" max="3" width="57.85546875" customWidth="1"/>
    <col min="4" max="4" width="9.42578125" bestFit="1" customWidth="1"/>
    <col min="5" max="5" width="31.42578125" customWidth="1"/>
    <col min="6" max="6" width="17.42578125" customWidth="1"/>
  </cols>
  <sheetData>
    <row r="1" spans="2:5" x14ac:dyDescent="0.25">
      <c r="B1" s="516" t="s">
        <v>0</v>
      </c>
      <c r="C1" s="516"/>
      <c r="D1" s="516"/>
      <c r="E1" s="516"/>
    </row>
    <row r="2" spans="2:5" x14ac:dyDescent="0.25">
      <c r="B2" s="518"/>
      <c r="C2" s="518"/>
      <c r="D2" s="518"/>
      <c r="E2" s="518"/>
    </row>
    <row r="3" spans="2:5" x14ac:dyDescent="0.25">
      <c r="B3" s="518" t="s">
        <v>1</v>
      </c>
      <c r="C3" s="518"/>
      <c r="D3" s="518"/>
      <c r="E3" s="518"/>
    </row>
    <row r="4" spans="2:5" x14ac:dyDescent="0.25">
      <c r="B4" s="517" t="s">
        <v>116</v>
      </c>
      <c r="C4" s="517"/>
      <c r="D4" s="517"/>
      <c r="E4" s="517"/>
    </row>
    <row r="5" spans="2:5" x14ac:dyDescent="0.25">
      <c r="B5" s="493"/>
      <c r="C5" s="493"/>
      <c r="D5" s="493"/>
      <c r="E5" s="493"/>
    </row>
    <row r="6" spans="2:5" x14ac:dyDescent="0.25">
      <c r="B6" s="494" t="s">
        <v>2</v>
      </c>
      <c r="C6" s="494"/>
      <c r="D6" s="494"/>
      <c r="E6" s="494"/>
    </row>
    <row r="7" spans="2:5" x14ac:dyDescent="0.25">
      <c r="B7" s="3" t="s">
        <v>3</v>
      </c>
      <c r="C7" s="4" t="s">
        <v>4</v>
      </c>
      <c r="D7" s="495"/>
      <c r="E7" s="496"/>
    </row>
    <row r="8" spans="2:5" x14ac:dyDescent="0.25">
      <c r="B8" s="3" t="s">
        <v>5</v>
      </c>
      <c r="C8" s="4" t="s">
        <v>6</v>
      </c>
      <c r="D8" s="496"/>
      <c r="E8" s="496"/>
    </row>
    <row r="9" spans="2:5" x14ac:dyDescent="0.25">
      <c r="B9" s="3" t="s">
        <v>7</v>
      </c>
      <c r="C9" s="4" t="s">
        <v>8</v>
      </c>
      <c r="D9" s="497"/>
      <c r="E9" s="496"/>
    </row>
    <row r="10" spans="2:5" x14ac:dyDescent="0.25">
      <c r="B10" s="3" t="s">
        <v>9</v>
      </c>
      <c r="C10" s="4" t="s">
        <v>10</v>
      </c>
      <c r="D10" s="496"/>
      <c r="E10" s="496"/>
    </row>
    <row r="11" spans="2:5" x14ac:dyDescent="0.25">
      <c r="B11" s="2"/>
      <c r="C11" s="5"/>
      <c r="D11" s="2"/>
      <c r="E11" s="2"/>
    </row>
    <row r="12" spans="2:5" x14ac:dyDescent="0.25">
      <c r="B12" s="494" t="s">
        <v>11</v>
      </c>
      <c r="C12" s="494"/>
      <c r="D12" s="494"/>
      <c r="E12" s="494"/>
    </row>
    <row r="13" spans="2:5" x14ac:dyDescent="0.25">
      <c r="B13" s="60" t="s">
        <v>12</v>
      </c>
      <c r="C13" s="3" t="s">
        <v>13</v>
      </c>
      <c r="D13" s="496" t="s">
        <v>171</v>
      </c>
      <c r="E13" s="496"/>
    </row>
    <row r="14" spans="2:5" ht="31.5" customHeight="1" x14ac:dyDescent="0.25">
      <c r="B14" s="65" t="s">
        <v>117</v>
      </c>
      <c r="C14" s="3" t="s">
        <v>14</v>
      </c>
      <c r="D14" s="496"/>
      <c r="E14" s="496"/>
    </row>
    <row r="15" spans="2:5" x14ac:dyDescent="0.25">
      <c r="B15" s="2"/>
      <c r="C15" s="5"/>
      <c r="D15" s="2"/>
      <c r="E15" s="2"/>
    </row>
    <row r="16" spans="2:5" x14ac:dyDescent="0.25">
      <c r="B16" s="494" t="s">
        <v>15</v>
      </c>
      <c r="C16" s="494"/>
      <c r="D16" s="494"/>
      <c r="E16" s="494"/>
    </row>
    <row r="17" spans="2:5" x14ac:dyDescent="0.25">
      <c r="B17" s="3">
        <v>1</v>
      </c>
      <c r="C17" s="4" t="s">
        <v>16</v>
      </c>
      <c r="D17" s="496"/>
      <c r="E17" s="496"/>
    </row>
    <row r="18" spans="2:5" x14ac:dyDescent="0.25">
      <c r="B18" s="3">
        <v>2</v>
      </c>
      <c r="C18" s="4" t="s">
        <v>17</v>
      </c>
      <c r="D18" s="496"/>
      <c r="E18" s="496"/>
    </row>
    <row r="19" spans="2:5" x14ac:dyDescent="0.25">
      <c r="B19" s="3">
        <v>3</v>
      </c>
      <c r="C19" s="4" t="s">
        <v>18</v>
      </c>
      <c r="D19" s="498"/>
      <c r="E19" s="496"/>
    </row>
    <row r="20" spans="2:5" x14ac:dyDescent="0.25">
      <c r="B20" s="3">
        <v>4</v>
      </c>
      <c r="C20" s="4" t="s">
        <v>19</v>
      </c>
      <c r="D20" s="496"/>
      <c r="E20" s="496"/>
    </row>
    <row r="21" spans="2:5" x14ac:dyDescent="0.25">
      <c r="B21" s="3">
        <v>5</v>
      </c>
      <c r="C21" s="4" t="s">
        <v>20</v>
      </c>
      <c r="D21" s="495"/>
      <c r="E21" s="496"/>
    </row>
    <row r="22" spans="2:5" x14ac:dyDescent="0.25">
      <c r="B22" s="503"/>
      <c r="C22" s="503"/>
      <c r="D22" s="503"/>
      <c r="E22" s="503"/>
    </row>
    <row r="23" spans="2:5" x14ac:dyDescent="0.25">
      <c r="B23" s="504" t="s">
        <v>21</v>
      </c>
      <c r="C23" s="504"/>
      <c r="D23" s="504"/>
      <c r="E23" s="504"/>
    </row>
    <row r="24" spans="2:5" x14ac:dyDescent="0.25">
      <c r="B24" s="6">
        <v>1</v>
      </c>
      <c r="C24" s="6" t="s">
        <v>22</v>
      </c>
      <c r="D24" s="6" t="s">
        <v>23</v>
      </c>
      <c r="E24" s="6" t="s">
        <v>24</v>
      </c>
    </row>
    <row r="25" spans="2:5" x14ac:dyDescent="0.25">
      <c r="B25" s="6" t="s">
        <v>3</v>
      </c>
      <c r="C25" s="4" t="s">
        <v>25</v>
      </c>
      <c r="D25" s="7"/>
      <c r="E25" s="66">
        <v>2593.73</v>
      </c>
    </row>
    <row r="26" spans="2:5" x14ac:dyDescent="0.25">
      <c r="B26" s="6" t="s">
        <v>5</v>
      </c>
      <c r="C26" s="4" t="s">
        <v>26</v>
      </c>
      <c r="D26" s="8"/>
      <c r="E26" s="66">
        <f>E25*30%</f>
        <v>778.11900000000003</v>
      </c>
    </row>
    <row r="27" spans="2:5" x14ac:dyDescent="0.25">
      <c r="B27" s="6" t="s">
        <v>7</v>
      </c>
      <c r="C27" s="4" t="s">
        <v>27</v>
      </c>
      <c r="D27" s="8"/>
      <c r="E27" s="66">
        <v>0</v>
      </c>
    </row>
    <row r="28" spans="2:5" x14ac:dyDescent="0.25">
      <c r="B28" s="6" t="s">
        <v>9</v>
      </c>
      <c r="C28" s="4" t="s">
        <v>28</v>
      </c>
      <c r="D28" s="8"/>
      <c r="E28" s="66">
        <v>0</v>
      </c>
    </row>
    <row r="29" spans="2:5" x14ac:dyDescent="0.25">
      <c r="B29" s="6" t="s">
        <v>29</v>
      </c>
      <c r="C29" s="4" t="s">
        <v>30</v>
      </c>
      <c r="D29" s="9"/>
      <c r="E29" s="66">
        <v>0</v>
      </c>
    </row>
    <row r="30" spans="2:5" x14ac:dyDescent="0.25">
      <c r="B30" s="6" t="s">
        <v>31</v>
      </c>
      <c r="C30" s="4" t="s">
        <v>32</v>
      </c>
      <c r="D30" s="8"/>
      <c r="E30" s="66">
        <v>0</v>
      </c>
    </row>
    <row r="31" spans="2:5" x14ac:dyDescent="0.25">
      <c r="B31" s="500" t="s">
        <v>33</v>
      </c>
      <c r="C31" s="500"/>
      <c r="D31" s="500"/>
      <c r="E31" s="67">
        <f>SUM(E25:E30)</f>
        <v>3371.8490000000002</v>
      </c>
    </row>
    <row r="32" spans="2:5" x14ac:dyDescent="0.25">
      <c r="B32" s="1"/>
      <c r="C32" s="1"/>
      <c r="D32" s="1"/>
      <c r="E32" s="10"/>
    </row>
    <row r="33" spans="2:5" x14ac:dyDescent="0.25">
      <c r="B33" s="504" t="s">
        <v>34</v>
      </c>
      <c r="C33" s="504"/>
      <c r="D33" s="504"/>
      <c r="E33" s="504"/>
    </row>
    <row r="34" spans="2:5" x14ac:dyDescent="0.25">
      <c r="B34" s="499" t="s">
        <v>35</v>
      </c>
      <c r="C34" s="499"/>
      <c r="D34" s="11" t="s">
        <v>23</v>
      </c>
      <c r="E34" s="11" t="s">
        <v>24</v>
      </c>
    </row>
    <row r="35" spans="2:5" x14ac:dyDescent="0.25">
      <c r="B35" s="6" t="s">
        <v>3</v>
      </c>
      <c r="C35" s="4" t="s">
        <v>119</v>
      </c>
      <c r="D35" s="12">
        <v>8.3299999999999999E-2</v>
      </c>
      <c r="E35" s="66">
        <f>TRUNC($E$31*D35,2)</f>
        <v>280.87</v>
      </c>
    </row>
    <row r="36" spans="2:5" x14ac:dyDescent="0.25">
      <c r="B36" s="6" t="s">
        <v>5</v>
      </c>
      <c r="C36" s="4" t="s">
        <v>120</v>
      </c>
      <c r="D36" s="13">
        <v>0.121</v>
      </c>
      <c r="E36" s="66">
        <f>TRUNC($E$31*D36,2)</f>
        <v>407.99</v>
      </c>
    </row>
    <row r="37" spans="2:5" x14ac:dyDescent="0.25">
      <c r="B37" s="500" t="s">
        <v>36</v>
      </c>
      <c r="C37" s="500"/>
      <c r="D37" s="14">
        <f>SUM(D35:D36)</f>
        <v>0.20429999999999998</v>
      </c>
      <c r="E37" s="67">
        <f>SUM(E35:E36)</f>
        <v>688.86</v>
      </c>
    </row>
    <row r="38" spans="2:5" x14ac:dyDescent="0.25">
      <c r="B38" s="501"/>
      <c r="C38" s="502"/>
      <c r="D38" s="502"/>
      <c r="E38" s="502"/>
    </row>
    <row r="39" spans="2:5" x14ac:dyDescent="0.25">
      <c r="B39" s="499" t="s">
        <v>37</v>
      </c>
      <c r="C39" s="499"/>
      <c r="D39" s="11" t="s">
        <v>23</v>
      </c>
      <c r="E39" s="11" t="s">
        <v>24</v>
      </c>
    </row>
    <row r="40" spans="2:5" x14ac:dyDescent="0.25">
      <c r="B40" s="6" t="s">
        <v>3</v>
      </c>
      <c r="C40" s="4" t="s">
        <v>38</v>
      </c>
      <c r="D40" s="12">
        <v>0.2</v>
      </c>
      <c r="E40" s="66">
        <f>TRUNC(($E$31+$E$37)*$D$40,2)</f>
        <v>812.14</v>
      </c>
    </row>
    <row r="41" spans="2:5" x14ac:dyDescent="0.25">
      <c r="B41" s="6" t="s">
        <v>5</v>
      </c>
      <c r="C41" s="4" t="s">
        <v>39</v>
      </c>
      <c r="D41" s="12">
        <v>2.5000000000000001E-2</v>
      </c>
      <c r="E41" s="66">
        <f>TRUNC(($E$31+$E$37)*$D$41,2)</f>
        <v>101.51</v>
      </c>
    </row>
    <row r="42" spans="2:5" x14ac:dyDescent="0.25">
      <c r="B42" s="6" t="s">
        <v>7</v>
      </c>
      <c r="C42" s="4" t="s">
        <v>40</v>
      </c>
      <c r="D42" s="12">
        <v>1.4999999999999999E-2</v>
      </c>
      <c r="E42" s="66">
        <f>TRUNC(($E$31+$E$37)*$D$42,2)</f>
        <v>60.91</v>
      </c>
    </row>
    <row r="43" spans="2:5" x14ac:dyDescent="0.25">
      <c r="B43" s="6" t="s">
        <v>9</v>
      </c>
      <c r="C43" s="4" t="s">
        <v>41</v>
      </c>
      <c r="D43" s="12">
        <v>1.4999999999999999E-2</v>
      </c>
      <c r="E43" s="66">
        <f>TRUNC(($E$31+$E$37)*$D$43,2)</f>
        <v>60.91</v>
      </c>
    </row>
    <row r="44" spans="2:5" x14ac:dyDescent="0.25">
      <c r="B44" s="6" t="s">
        <v>29</v>
      </c>
      <c r="C44" s="4" t="s">
        <v>42</v>
      </c>
      <c r="D44" s="12">
        <v>0.01</v>
      </c>
      <c r="E44" s="66">
        <f>TRUNC(($E$31+$E$37)*$D$44,2)</f>
        <v>40.6</v>
      </c>
    </row>
    <row r="45" spans="2:5" x14ac:dyDescent="0.25">
      <c r="B45" s="6" t="s">
        <v>31</v>
      </c>
      <c r="C45" s="4" t="s">
        <v>43</v>
      </c>
      <c r="D45" s="12">
        <v>6.0000000000000001E-3</v>
      </c>
      <c r="E45" s="66">
        <f>TRUNC(($E$31+$E$37)*$D$45,2)</f>
        <v>24.36</v>
      </c>
    </row>
    <row r="46" spans="2:5" x14ac:dyDescent="0.25">
      <c r="B46" s="6" t="s">
        <v>44</v>
      </c>
      <c r="C46" s="4" t="s">
        <v>45</v>
      </c>
      <c r="D46" s="12">
        <v>2E-3</v>
      </c>
      <c r="E46" s="66">
        <f>TRUNC(($E$31+$E$37)*$D$46,2)</f>
        <v>8.1199999999999992</v>
      </c>
    </row>
    <row r="47" spans="2:5" x14ac:dyDescent="0.25">
      <c r="B47" s="6" t="s">
        <v>46</v>
      </c>
      <c r="C47" s="4" t="s">
        <v>47</v>
      </c>
      <c r="D47" s="12">
        <v>0.08</v>
      </c>
      <c r="E47" s="66">
        <f>TRUNC(($E$31+$E$37)*$D$47,2)</f>
        <v>324.85000000000002</v>
      </c>
    </row>
    <row r="48" spans="2:5" x14ac:dyDescent="0.25">
      <c r="B48" s="500" t="s">
        <v>48</v>
      </c>
      <c r="C48" s="500"/>
      <c r="D48" s="14">
        <f>SUM(D40:D47)</f>
        <v>0.35300000000000004</v>
      </c>
      <c r="E48" s="67">
        <f>SUM(E40:E47)</f>
        <v>1433.3999999999996</v>
      </c>
    </row>
    <row r="49" spans="2:6" x14ac:dyDescent="0.25">
      <c r="B49" s="519"/>
      <c r="C49" s="519"/>
      <c r="D49" s="519"/>
      <c r="E49" s="520"/>
    </row>
    <row r="50" spans="2:6" x14ac:dyDescent="0.25">
      <c r="B50" s="499" t="s">
        <v>49</v>
      </c>
      <c r="C50" s="499"/>
      <c r="D50" s="16"/>
      <c r="E50" s="11" t="s">
        <v>24</v>
      </c>
    </row>
    <row r="51" spans="2:6" x14ac:dyDescent="0.25">
      <c r="B51" s="6" t="s">
        <v>3</v>
      </c>
      <c r="C51" s="7" t="s">
        <v>121</v>
      </c>
      <c r="D51" s="18">
        <v>11</v>
      </c>
      <c r="E51" s="69">
        <f>TRUNC((5.5*2*22)-(6%*E25),2)</f>
        <v>86.37</v>
      </c>
    </row>
    <row r="52" spans="2:6" x14ac:dyDescent="0.25">
      <c r="B52" s="6" t="s">
        <v>5</v>
      </c>
      <c r="C52" s="7" t="s">
        <v>125</v>
      </c>
      <c r="D52" s="18">
        <v>44.216999999999999</v>
      </c>
      <c r="E52" s="69">
        <f>TRUNC(D52*22,2)</f>
        <v>972.77</v>
      </c>
      <c r="F52" s="38"/>
    </row>
    <row r="53" spans="2:6" x14ac:dyDescent="0.25">
      <c r="B53" s="6" t="s">
        <v>7</v>
      </c>
      <c r="C53" s="37" t="s">
        <v>122</v>
      </c>
      <c r="D53" s="18"/>
      <c r="E53" s="69" t="s">
        <v>50</v>
      </c>
    </row>
    <row r="54" spans="2:6" x14ac:dyDescent="0.25">
      <c r="B54" s="6" t="s">
        <v>9</v>
      </c>
      <c r="C54" s="7" t="s">
        <v>51</v>
      </c>
      <c r="D54" s="18">
        <v>21.24</v>
      </c>
      <c r="E54" s="69">
        <f>D54</f>
        <v>21.24</v>
      </c>
    </row>
    <row r="55" spans="2:6" x14ac:dyDescent="0.25">
      <c r="B55" s="6" t="s">
        <v>29</v>
      </c>
      <c r="C55" s="37" t="s">
        <v>123</v>
      </c>
      <c r="D55" s="18"/>
      <c r="E55" s="69" t="s">
        <v>50</v>
      </c>
    </row>
    <row r="56" spans="2:6" x14ac:dyDescent="0.25">
      <c r="B56" s="6" t="s">
        <v>31</v>
      </c>
      <c r="C56" s="37" t="s">
        <v>124</v>
      </c>
      <c r="D56" s="18"/>
      <c r="E56" s="69">
        <v>0</v>
      </c>
    </row>
    <row r="57" spans="2:6" x14ac:dyDescent="0.25">
      <c r="B57" s="6" t="s">
        <v>44</v>
      </c>
      <c r="C57" s="7" t="s">
        <v>32</v>
      </c>
      <c r="D57" s="18"/>
      <c r="E57" s="69" t="s">
        <v>50</v>
      </c>
    </row>
    <row r="58" spans="2:6" x14ac:dyDescent="0.25">
      <c r="B58" s="500" t="s">
        <v>52</v>
      </c>
      <c r="C58" s="500"/>
      <c r="D58" s="500"/>
      <c r="E58" s="67">
        <f>SUM(E51:E57)</f>
        <v>1080.3799999999999</v>
      </c>
    </row>
    <row r="59" spans="2:6" x14ac:dyDescent="0.25">
      <c r="B59" s="519"/>
      <c r="C59" s="519"/>
      <c r="D59" s="519"/>
      <c r="E59" s="520"/>
    </row>
    <row r="60" spans="2:6" x14ac:dyDescent="0.25">
      <c r="B60" s="494" t="s">
        <v>53</v>
      </c>
      <c r="C60" s="494"/>
      <c r="D60" s="494"/>
      <c r="E60" s="494"/>
    </row>
    <row r="61" spans="2:6" x14ac:dyDescent="0.25">
      <c r="B61" s="500" t="s">
        <v>54</v>
      </c>
      <c r="C61" s="500"/>
      <c r="D61" s="500"/>
      <c r="E61" s="6" t="s">
        <v>24</v>
      </c>
    </row>
    <row r="62" spans="2:6" x14ac:dyDescent="0.25">
      <c r="B62" s="6" t="s">
        <v>55</v>
      </c>
      <c r="C62" s="507" t="s">
        <v>56</v>
      </c>
      <c r="D62" s="507"/>
      <c r="E62" s="66">
        <f>E37</f>
        <v>688.86</v>
      </c>
    </row>
    <row r="63" spans="2:6" x14ac:dyDescent="0.25">
      <c r="B63" s="6" t="s">
        <v>57</v>
      </c>
      <c r="C63" s="507" t="s">
        <v>58</v>
      </c>
      <c r="D63" s="507"/>
      <c r="E63" s="66">
        <f>E48</f>
        <v>1433.3999999999996</v>
      </c>
    </row>
    <row r="64" spans="2:6" x14ac:dyDescent="0.25">
      <c r="B64" s="6" t="s">
        <v>59</v>
      </c>
      <c r="C64" s="507" t="s">
        <v>60</v>
      </c>
      <c r="D64" s="507"/>
      <c r="E64" s="66">
        <f>E58</f>
        <v>1080.3799999999999</v>
      </c>
    </row>
    <row r="65" spans="2:5" x14ac:dyDescent="0.25">
      <c r="B65" s="500" t="s">
        <v>61</v>
      </c>
      <c r="C65" s="500"/>
      <c r="D65" s="500"/>
      <c r="E65" s="67">
        <f>SUM(E62:E64)</f>
        <v>3202.6399999999994</v>
      </c>
    </row>
    <row r="66" spans="2:5" x14ac:dyDescent="0.25">
      <c r="B66" s="509"/>
      <c r="C66" s="510"/>
      <c r="D66" s="510"/>
      <c r="E66" s="510"/>
    </row>
    <row r="67" spans="2:5" x14ac:dyDescent="0.25">
      <c r="B67" s="504" t="s">
        <v>62</v>
      </c>
      <c r="C67" s="504"/>
      <c r="D67" s="504"/>
      <c r="E67" s="504"/>
    </row>
    <row r="68" spans="2:5" x14ac:dyDescent="0.25">
      <c r="B68" s="6">
        <v>3</v>
      </c>
      <c r="C68" s="6" t="s">
        <v>63</v>
      </c>
      <c r="D68" s="6" t="s">
        <v>23</v>
      </c>
      <c r="E68" s="6" t="s">
        <v>24</v>
      </c>
    </row>
    <row r="69" spans="2:5" x14ac:dyDescent="0.25">
      <c r="B69" s="6" t="s">
        <v>3</v>
      </c>
      <c r="C69" s="4" t="s">
        <v>64</v>
      </c>
      <c r="D69" s="12">
        <v>4.0000000000000002E-4</v>
      </c>
      <c r="E69" s="66">
        <f>TRUNC(D69*$E$31,2)</f>
        <v>1.34</v>
      </c>
    </row>
    <row r="70" spans="2:5" x14ac:dyDescent="0.25">
      <c r="B70" s="6" t="s">
        <v>5</v>
      </c>
      <c r="C70" s="4" t="s">
        <v>65</v>
      </c>
      <c r="D70" s="154">
        <f>D69*D47</f>
        <v>3.2000000000000005E-5</v>
      </c>
      <c r="E70" s="66">
        <f>TRUNC(D70*$E$31,2)</f>
        <v>0.1</v>
      </c>
    </row>
    <row r="71" spans="2:5" x14ac:dyDescent="0.25">
      <c r="B71" s="6" t="s">
        <v>7</v>
      </c>
      <c r="C71" s="4" t="s">
        <v>66</v>
      </c>
      <c r="D71" s="12">
        <v>2.0000000000000001E-4</v>
      </c>
      <c r="E71" s="66">
        <f t="shared" ref="E71:E72" si="0">TRUNC(D71*$E$31,2)</f>
        <v>0.67</v>
      </c>
    </row>
    <row r="72" spans="2:5" x14ac:dyDescent="0.25">
      <c r="B72" s="6" t="s">
        <v>9</v>
      </c>
      <c r="C72" s="4" t="s">
        <v>67</v>
      </c>
      <c r="D72" s="155">
        <f>D71*D47</f>
        <v>1.6000000000000003E-5</v>
      </c>
      <c r="E72" s="66">
        <f t="shared" si="0"/>
        <v>0.05</v>
      </c>
    </row>
    <row r="73" spans="2:5" ht="25.5" customHeight="1" x14ac:dyDescent="0.25">
      <c r="B73" s="6" t="s">
        <v>29</v>
      </c>
      <c r="C73" s="61" t="s">
        <v>68</v>
      </c>
      <c r="D73" s="12">
        <v>0.04</v>
      </c>
      <c r="E73" s="66">
        <f>TRUNC(D73*$E$31,2)</f>
        <v>134.87</v>
      </c>
    </row>
    <row r="74" spans="2:5" x14ac:dyDescent="0.25">
      <c r="B74" s="500" t="s">
        <v>69</v>
      </c>
      <c r="C74" s="500"/>
      <c r="D74" s="14">
        <f>SUM(D69:D73)</f>
        <v>4.0648000000000004E-2</v>
      </c>
      <c r="E74" s="67">
        <f>SUM(E69:E73)</f>
        <v>137.03</v>
      </c>
    </row>
    <row r="75" spans="2:5" x14ac:dyDescent="0.25">
      <c r="B75" s="514"/>
      <c r="C75" s="515"/>
      <c r="D75" s="515"/>
      <c r="E75" s="515"/>
    </row>
    <row r="76" spans="2:5" x14ac:dyDescent="0.25">
      <c r="B76" s="504" t="s">
        <v>70</v>
      </c>
      <c r="C76" s="504"/>
      <c r="D76" s="504"/>
      <c r="E76" s="504"/>
    </row>
    <row r="77" spans="2:5" x14ac:dyDescent="0.25">
      <c r="B77" s="500" t="s">
        <v>71</v>
      </c>
      <c r="C77" s="500"/>
      <c r="D77" s="6" t="s">
        <v>23</v>
      </c>
      <c r="E77" s="6" t="s">
        <v>24</v>
      </c>
    </row>
    <row r="78" spans="2:5" x14ac:dyDescent="0.25">
      <c r="B78" s="6" t="s">
        <v>3</v>
      </c>
      <c r="C78" s="4" t="s">
        <v>72</v>
      </c>
      <c r="D78" s="12">
        <v>9.7000000000000003E-3</v>
      </c>
      <c r="E78" s="66">
        <f>(E$125+E$126+E$127)*D78</f>
        <v>65.10173429999999</v>
      </c>
    </row>
    <row r="79" spans="2:5" x14ac:dyDescent="0.25">
      <c r="B79" s="6" t="s">
        <v>5</v>
      </c>
      <c r="C79" s="4" t="s">
        <v>73</v>
      </c>
      <c r="D79" s="12">
        <v>1E-4</v>
      </c>
      <c r="E79" s="66">
        <f>(E$125+E$126+E$127)*D79</f>
        <v>0.67115189999999991</v>
      </c>
    </row>
    <row r="80" spans="2:5" x14ac:dyDescent="0.25">
      <c r="B80" s="6" t="s">
        <v>7</v>
      </c>
      <c r="C80" s="4" t="s">
        <v>74</v>
      </c>
      <c r="D80" s="12">
        <v>1E-4</v>
      </c>
      <c r="E80" s="66">
        <f>(E$125+E$126+E$127)*D80</f>
        <v>0.67115189999999991</v>
      </c>
    </row>
    <row r="81" spans="2:5" x14ac:dyDescent="0.25">
      <c r="B81" s="6" t="s">
        <v>9</v>
      </c>
      <c r="C81" s="4" t="s">
        <v>75</v>
      </c>
      <c r="D81" s="12">
        <v>1E-4</v>
      </c>
      <c r="E81" s="66">
        <f>(E$125+E$126+E$127)*D81</f>
        <v>0.67115189999999991</v>
      </c>
    </row>
    <row r="82" spans="2:5" x14ac:dyDescent="0.25">
      <c r="B82" s="6" t="s">
        <v>29</v>
      </c>
      <c r="C82" s="4" t="s">
        <v>76</v>
      </c>
      <c r="D82" s="12">
        <v>1E-4</v>
      </c>
      <c r="E82" s="66">
        <f>(E$125+E$126+E$127)*D82</f>
        <v>0.67115189999999991</v>
      </c>
    </row>
    <row r="83" spans="2:5" x14ac:dyDescent="0.25">
      <c r="B83" s="6" t="s">
        <v>31</v>
      </c>
      <c r="C83" s="4" t="s">
        <v>77</v>
      </c>
      <c r="D83" s="12"/>
      <c r="E83" s="66">
        <f t="shared" ref="E83" si="1">TRUNC(($E$31)*D83,2)</f>
        <v>0</v>
      </c>
    </row>
    <row r="84" spans="2:5" x14ac:dyDescent="0.25">
      <c r="B84" s="500" t="s">
        <v>78</v>
      </c>
      <c r="C84" s="500"/>
      <c r="D84" s="14">
        <f>SUM(D78:D83)</f>
        <v>1.0099999999999998E-2</v>
      </c>
      <c r="E84" s="67">
        <f>SUM(E78:E83)</f>
        <v>67.786341899999982</v>
      </c>
    </row>
    <row r="85" spans="2:5" x14ac:dyDescent="0.25">
      <c r="B85" s="505"/>
      <c r="C85" s="506"/>
      <c r="D85" s="506"/>
      <c r="E85" s="506"/>
    </row>
    <row r="86" spans="2:5" x14ac:dyDescent="0.25">
      <c r="B86" s="500" t="s">
        <v>79</v>
      </c>
      <c r="C86" s="500"/>
      <c r="D86" s="6" t="s">
        <v>23</v>
      </c>
      <c r="E86" s="6" t="s">
        <v>24</v>
      </c>
    </row>
    <row r="87" spans="2:5" x14ac:dyDescent="0.25">
      <c r="B87" s="6" t="s">
        <v>3</v>
      </c>
      <c r="C87" s="61" t="s">
        <v>80</v>
      </c>
      <c r="D87" s="12"/>
      <c r="E87" s="66">
        <v>0</v>
      </c>
    </row>
    <row r="88" spans="2:5" x14ac:dyDescent="0.25">
      <c r="B88" s="500" t="s">
        <v>81</v>
      </c>
      <c r="C88" s="500"/>
      <c r="D88" s="14">
        <v>0</v>
      </c>
      <c r="E88" s="67">
        <v>0</v>
      </c>
    </row>
    <row r="89" spans="2:5" x14ac:dyDescent="0.25">
      <c r="B89" s="511"/>
      <c r="C89" s="512"/>
      <c r="D89" s="512"/>
      <c r="E89" s="512"/>
    </row>
    <row r="90" spans="2:5" x14ac:dyDescent="0.25">
      <c r="B90" s="494" t="s">
        <v>82</v>
      </c>
      <c r="C90" s="494"/>
      <c r="D90" s="494"/>
      <c r="E90" s="494"/>
    </row>
    <row r="91" spans="2:5" x14ac:dyDescent="0.25">
      <c r="B91" s="500" t="s">
        <v>83</v>
      </c>
      <c r="C91" s="500"/>
      <c r="D91" s="500"/>
      <c r="E91" s="6" t="s">
        <v>24</v>
      </c>
    </row>
    <row r="92" spans="2:5" x14ac:dyDescent="0.25">
      <c r="B92" s="6" t="s">
        <v>84</v>
      </c>
      <c r="C92" s="507" t="s">
        <v>85</v>
      </c>
      <c r="D92" s="507"/>
      <c r="E92" s="66">
        <f>E84</f>
        <v>67.786341899999982</v>
      </c>
    </row>
    <row r="93" spans="2:5" x14ac:dyDescent="0.25">
      <c r="B93" s="6" t="s">
        <v>86</v>
      </c>
      <c r="C93" s="507" t="s">
        <v>87</v>
      </c>
      <c r="D93" s="507"/>
      <c r="E93" s="66">
        <f>E88</f>
        <v>0</v>
      </c>
    </row>
    <row r="94" spans="2:5" x14ac:dyDescent="0.25">
      <c r="B94" s="500" t="s">
        <v>88</v>
      </c>
      <c r="C94" s="500"/>
      <c r="D94" s="500"/>
      <c r="E94" s="67">
        <f>SUM(E92:E93)</f>
        <v>67.786341899999982</v>
      </c>
    </row>
    <row r="95" spans="2:5" x14ac:dyDescent="0.25">
      <c r="B95" s="509"/>
      <c r="C95" s="510"/>
      <c r="D95" s="510"/>
      <c r="E95" s="510"/>
    </row>
    <row r="96" spans="2:5" x14ac:dyDescent="0.25">
      <c r="B96" s="504" t="s">
        <v>89</v>
      </c>
      <c r="C96" s="504"/>
      <c r="D96" s="504"/>
      <c r="E96" s="504"/>
    </row>
    <row r="97" spans="2:6" x14ac:dyDescent="0.25">
      <c r="B97" s="6">
        <v>5</v>
      </c>
      <c r="C97" s="6" t="s">
        <v>90</v>
      </c>
      <c r="D97" s="6"/>
      <c r="E97" s="6" t="s">
        <v>24</v>
      </c>
    </row>
    <row r="98" spans="2:6" x14ac:dyDescent="0.25">
      <c r="B98" s="6" t="s">
        <v>3</v>
      </c>
      <c r="C98" s="7" t="s">
        <v>91</v>
      </c>
      <c r="D98" s="12"/>
      <c r="E98" s="66">
        <f>Uniforme!G15</f>
        <v>52.500000000000007</v>
      </c>
    </row>
    <row r="99" spans="2:6" x14ac:dyDescent="0.25">
      <c r="B99" s="6" t="s">
        <v>5</v>
      </c>
      <c r="C99" s="59" t="s">
        <v>169</v>
      </c>
      <c r="D99" s="12"/>
      <c r="E99" s="66">
        <f>Materiais!F22</f>
        <v>13.00079365079365</v>
      </c>
    </row>
    <row r="100" spans="2:6" x14ac:dyDescent="0.25">
      <c r="B100" s="15" t="s">
        <v>7</v>
      </c>
      <c r="C100" s="59" t="s">
        <v>170</v>
      </c>
      <c r="D100" s="3"/>
      <c r="E100" s="66"/>
    </row>
    <row r="101" spans="2:6" x14ac:dyDescent="0.25">
      <c r="B101" s="15" t="s">
        <v>9</v>
      </c>
      <c r="C101" s="59" t="s">
        <v>32</v>
      </c>
      <c r="D101" s="3"/>
      <c r="E101" s="66"/>
    </row>
    <row r="102" spans="2:6" x14ac:dyDescent="0.25">
      <c r="B102" s="500" t="s">
        <v>92</v>
      </c>
      <c r="C102" s="500"/>
      <c r="D102" s="14"/>
      <c r="E102" s="67">
        <f>SUM(E98:E101)</f>
        <v>65.500793650793653</v>
      </c>
    </row>
    <row r="103" spans="2:6" x14ac:dyDescent="0.25">
      <c r="B103" s="509"/>
      <c r="C103" s="510"/>
      <c r="D103" s="510"/>
      <c r="E103" s="510"/>
    </row>
    <row r="104" spans="2:6" x14ac:dyDescent="0.25">
      <c r="B104" s="504" t="s">
        <v>93</v>
      </c>
      <c r="C104" s="504"/>
      <c r="D104" s="504"/>
      <c r="E104" s="504"/>
    </row>
    <row r="105" spans="2:6" x14ac:dyDescent="0.25">
      <c r="B105" s="6">
        <v>6</v>
      </c>
      <c r="C105" s="6" t="s">
        <v>94</v>
      </c>
      <c r="D105" s="6" t="s">
        <v>23</v>
      </c>
      <c r="E105" s="6" t="s">
        <v>24</v>
      </c>
    </row>
    <row r="106" spans="2:6" x14ac:dyDescent="0.25">
      <c r="B106" s="6" t="s">
        <v>3</v>
      </c>
      <c r="C106" s="4" t="s">
        <v>95</v>
      </c>
      <c r="D106" s="17">
        <v>5.0000000000000001E-3</v>
      </c>
      <c r="E106" s="66">
        <f>TRUNC(((E130)*D106),2)</f>
        <v>34.22</v>
      </c>
    </row>
    <row r="107" spans="2:6" x14ac:dyDescent="0.25">
      <c r="B107" s="6" t="s">
        <v>5</v>
      </c>
      <c r="C107" s="4" t="s">
        <v>96</v>
      </c>
      <c r="D107" s="17">
        <v>4.4365999999999997E-3</v>
      </c>
      <c r="E107" s="66">
        <f>TRUNC(((E130+E106)*D107),2)</f>
        <v>30.51</v>
      </c>
      <c r="F107" s="138">
        <f>Proposta!K29</f>
        <v>1929378.2400000002</v>
      </c>
    </row>
    <row r="108" spans="2:6" x14ac:dyDescent="0.25">
      <c r="B108" s="6" t="s">
        <v>7</v>
      </c>
      <c r="C108" s="62" t="s">
        <v>97</v>
      </c>
      <c r="D108" s="8"/>
      <c r="E108" s="70"/>
    </row>
    <row r="109" spans="2:6" x14ac:dyDescent="0.25">
      <c r="B109" s="6" t="s">
        <v>98</v>
      </c>
      <c r="C109" s="4" t="s">
        <v>99</v>
      </c>
      <c r="D109" s="19">
        <v>0.03</v>
      </c>
      <c r="E109" s="66">
        <f>TRUNC(D109*((E130+E106+E107)/(1-D114)),2)</f>
        <v>226.91</v>
      </c>
    </row>
    <row r="110" spans="2:6" x14ac:dyDescent="0.25">
      <c r="B110" s="6" t="s">
        <v>100</v>
      </c>
      <c r="C110" s="4" t="s">
        <v>101</v>
      </c>
      <c r="D110" s="19">
        <v>6.4999999999999997E-3</v>
      </c>
      <c r="E110" s="66">
        <f>TRUNC(D110*(E130+E106+E107)/(1-D114),2)</f>
        <v>49.16</v>
      </c>
    </row>
    <row r="111" spans="2:6" x14ac:dyDescent="0.25">
      <c r="B111" s="6" t="s">
        <v>102</v>
      </c>
      <c r="C111" s="4" t="s">
        <v>103</v>
      </c>
      <c r="D111" s="19">
        <v>0.05</v>
      </c>
      <c r="E111" s="66">
        <f>TRUNC(D111*(E130+E106+E107)/(1-D114),2)</f>
        <v>378.19</v>
      </c>
    </row>
    <row r="112" spans="2:6" x14ac:dyDescent="0.25">
      <c r="B112" s="500" t="s">
        <v>104</v>
      </c>
      <c r="C112" s="500"/>
      <c r="D112" s="19">
        <f>SUM(D106:D111)</f>
        <v>9.5936600000000011E-2</v>
      </c>
      <c r="E112" s="67">
        <f>SUM(E106:E111)</f>
        <v>718.99</v>
      </c>
    </row>
    <row r="113" spans="2:5" x14ac:dyDescent="0.25">
      <c r="B113" s="2"/>
      <c r="C113" s="513"/>
      <c r="D113" s="513"/>
      <c r="E113" s="513"/>
    </row>
    <row r="114" spans="2:5" x14ac:dyDescent="0.25">
      <c r="B114" s="20" t="s">
        <v>105</v>
      </c>
      <c r="C114" s="63" t="s">
        <v>106</v>
      </c>
      <c r="D114" s="21">
        <f>D109+D110+D111</f>
        <v>8.6499999999999994E-2</v>
      </c>
      <c r="E114" s="22"/>
    </row>
    <row r="115" spans="2:5" x14ac:dyDescent="0.25">
      <c r="B115" s="23"/>
      <c r="C115" s="27">
        <v>100</v>
      </c>
      <c r="D115" s="24"/>
      <c r="E115" s="25"/>
    </row>
    <row r="116" spans="2:5" x14ac:dyDescent="0.25">
      <c r="B116" s="26"/>
      <c r="C116" s="27"/>
      <c r="D116" s="24"/>
      <c r="E116" s="25"/>
    </row>
    <row r="117" spans="2:5" x14ac:dyDescent="0.25">
      <c r="B117" s="23" t="s">
        <v>107</v>
      </c>
      <c r="C117" s="27" t="s">
        <v>108</v>
      </c>
      <c r="D117" s="24"/>
      <c r="E117" s="25"/>
    </row>
    <row r="118" spans="2:5" x14ac:dyDescent="0.25">
      <c r="B118" s="23"/>
      <c r="C118" s="27"/>
      <c r="D118" s="24"/>
      <c r="E118" s="25"/>
    </row>
    <row r="119" spans="2:5" x14ac:dyDescent="0.25">
      <c r="B119" s="23" t="s">
        <v>109</v>
      </c>
      <c r="C119" s="27" t="s">
        <v>110</v>
      </c>
      <c r="D119" s="24"/>
      <c r="E119" s="25">
        <f>TRUNC(E117/(1-D114),2)</f>
        <v>0</v>
      </c>
    </row>
    <row r="120" spans="2:5" x14ac:dyDescent="0.25">
      <c r="B120" s="23"/>
      <c r="C120" s="27"/>
      <c r="D120" s="24"/>
      <c r="E120" s="25"/>
    </row>
    <row r="121" spans="2:5" x14ac:dyDescent="0.25">
      <c r="B121" s="28"/>
      <c r="C121" s="64" t="s">
        <v>111</v>
      </c>
      <c r="D121" s="29"/>
      <c r="E121" s="30">
        <f>E119-E117</f>
        <v>0</v>
      </c>
    </row>
    <row r="122" spans="2:5" x14ac:dyDescent="0.25">
      <c r="B122" s="2"/>
      <c r="C122" s="2"/>
      <c r="D122" s="2"/>
      <c r="E122" s="10"/>
    </row>
    <row r="123" spans="2:5" x14ac:dyDescent="0.25">
      <c r="B123" s="494" t="s">
        <v>112</v>
      </c>
      <c r="C123" s="494"/>
      <c r="D123" s="494"/>
      <c r="E123" s="494"/>
    </row>
    <row r="124" spans="2:5" x14ac:dyDescent="0.25">
      <c r="B124" s="500" t="s">
        <v>113</v>
      </c>
      <c r="C124" s="500"/>
      <c r="D124" s="500"/>
      <c r="E124" s="6" t="s">
        <v>24</v>
      </c>
    </row>
    <row r="125" spans="2:5" x14ac:dyDescent="0.25">
      <c r="B125" s="3" t="s">
        <v>3</v>
      </c>
      <c r="C125" s="507" t="s">
        <v>21</v>
      </c>
      <c r="D125" s="507"/>
      <c r="E125" s="66">
        <f>E31</f>
        <v>3371.8490000000002</v>
      </c>
    </row>
    <row r="126" spans="2:5" x14ac:dyDescent="0.25">
      <c r="B126" s="3" t="s">
        <v>5</v>
      </c>
      <c r="C126" s="507" t="s">
        <v>34</v>
      </c>
      <c r="D126" s="507"/>
      <c r="E126" s="66">
        <f>E65</f>
        <v>3202.6399999999994</v>
      </c>
    </row>
    <row r="127" spans="2:5" x14ac:dyDescent="0.25">
      <c r="B127" s="3" t="s">
        <v>7</v>
      </c>
      <c r="C127" s="507" t="s">
        <v>62</v>
      </c>
      <c r="D127" s="507"/>
      <c r="E127" s="66">
        <f>E74</f>
        <v>137.03</v>
      </c>
    </row>
    <row r="128" spans="2:5" x14ac:dyDescent="0.25">
      <c r="B128" s="3" t="s">
        <v>9</v>
      </c>
      <c r="C128" s="507" t="s">
        <v>70</v>
      </c>
      <c r="D128" s="507"/>
      <c r="E128" s="66">
        <f>E94</f>
        <v>67.786341899999982</v>
      </c>
    </row>
    <row r="129" spans="2:6" x14ac:dyDescent="0.25">
      <c r="B129" s="3" t="s">
        <v>29</v>
      </c>
      <c r="C129" s="507" t="s">
        <v>89</v>
      </c>
      <c r="D129" s="507"/>
      <c r="E129" s="66">
        <f>E102</f>
        <v>65.500793650793653</v>
      </c>
    </row>
    <row r="130" spans="2:6" x14ac:dyDescent="0.25">
      <c r="B130" s="6"/>
      <c r="C130" s="500" t="s">
        <v>114</v>
      </c>
      <c r="D130" s="500"/>
      <c r="E130" s="67">
        <f>SUM(E125:E129)</f>
        <v>6844.8061355507925</v>
      </c>
    </row>
    <row r="131" spans="2:6" x14ac:dyDescent="0.25">
      <c r="B131" s="3" t="s">
        <v>31</v>
      </c>
      <c r="C131" s="507" t="s">
        <v>93</v>
      </c>
      <c r="D131" s="507"/>
      <c r="E131" s="66">
        <f>E112</f>
        <v>718.99</v>
      </c>
    </row>
    <row r="132" spans="2:6" ht="18.75" x14ac:dyDescent="0.25">
      <c r="B132" s="508" t="s">
        <v>115</v>
      </c>
      <c r="C132" s="508"/>
      <c r="D132" s="508"/>
      <c r="E132" s="71">
        <f>TRUNC(E130+E131,2)</f>
        <v>7563.79</v>
      </c>
      <c r="F132">
        <f>E132/E31</f>
        <v>2.2432172970972304</v>
      </c>
    </row>
    <row r="133" spans="2:6" x14ac:dyDescent="0.25">
      <c r="B133" s="31"/>
      <c r="C133" s="31"/>
      <c r="D133" s="31"/>
      <c r="E133" s="32"/>
    </row>
    <row r="134" spans="2:6" x14ac:dyDescent="0.25">
      <c r="B134" s="31"/>
      <c r="C134" s="31"/>
      <c r="D134" s="31"/>
      <c r="E134" s="31"/>
    </row>
    <row r="135" spans="2:6" x14ac:dyDescent="0.25">
      <c r="B135" s="33"/>
      <c r="C135" s="34"/>
      <c r="D135" s="31"/>
      <c r="E135" s="31"/>
    </row>
    <row r="136" spans="2:6" x14ac:dyDescent="0.25">
      <c r="B136" s="35"/>
      <c r="C136" s="35"/>
    </row>
    <row r="137" spans="2:6" x14ac:dyDescent="0.25">
      <c r="B137" s="36"/>
      <c r="C137" s="31"/>
    </row>
    <row r="138" spans="2:6" x14ac:dyDescent="0.25">
      <c r="B138" s="36"/>
      <c r="C138" s="31"/>
    </row>
  </sheetData>
  <mergeCells count="71">
    <mergeCell ref="B1:E1"/>
    <mergeCell ref="B4:E4"/>
    <mergeCell ref="B3:E3"/>
    <mergeCell ref="B2:E2"/>
    <mergeCell ref="B74:C74"/>
    <mergeCell ref="C63:D63"/>
    <mergeCell ref="B48:C48"/>
    <mergeCell ref="B49:E49"/>
    <mergeCell ref="B50:C50"/>
    <mergeCell ref="B39:C39"/>
    <mergeCell ref="B58:D58"/>
    <mergeCell ref="B59:E59"/>
    <mergeCell ref="B60:E60"/>
    <mergeCell ref="B61:D61"/>
    <mergeCell ref="C62:D62"/>
    <mergeCell ref="B33:E33"/>
    <mergeCell ref="B75:E75"/>
    <mergeCell ref="C64:D64"/>
    <mergeCell ref="B65:D65"/>
    <mergeCell ref="B66:E66"/>
    <mergeCell ref="B67:E67"/>
    <mergeCell ref="B112:C112"/>
    <mergeCell ref="C113:E113"/>
    <mergeCell ref="B102:C102"/>
    <mergeCell ref="B103:E103"/>
    <mergeCell ref="B104:E104"/>
    <mergeCell ref="B94:D94"/>
    <mergeCell ref="B95:E95"/>
    <mergeCell ref="B96:E96"/>
    <mergeCell ref="B88:C88"/>
    <mergeCell ref="B89:E89"/>
    <mergeCell ref="B90:E90"/>
    <mergeCell ref="B91:D91"/>
    <mergeCell ref="C92:D92"/>
    <mergeCell ref="C93:D93"/>
    <mergeCell ref="C129:D129"/>
    <mergeCell ref="C130:D130"/>
    <mergeCell ref="C131:D131"/>
    <mergeCell ref="B132:D132"/>
    <mergeCell ref="B123:E123"/>
    <mergeCell ref="B124:D124"/>
    <mergeCell ref="C125:D125"/>
    <mergeCell ref="C126:D126"/>
    <mergeCell ref="C127:D127"/>
    <mergeCell ref="C128:D128"/>
    <mergeCell ref="B84:C84"/>
    <mergeCell ref="B85:E85"/>
    <mergeCell ref="B86:C86"/>
    <mergeCell ref="B76:E76"/>
    <mergeCell ref="B77:C77"/>
    <mergeCell ref="B37:C37"/>
    <mergeCell ref="B38:E38"/>
    <mergeCell ref="B31:D31"/>
    <mergeCell ref="D21:E21"/>
    <mergeCell ref="B22:E22"/>
    <mergeCell ref="B23:E23"/>
    <mergeCell ref="D19:E19"/>
    <mergeCell ref="D20:E20"/>
    <mergeCell ref="B16:E16"/>
    <mergeCell ref="D17:E17"/>
    <mergeCell ref="B34:C34"/>
    <mergeCell ref="B5:E5"/>
    <mergeCell ref="B6:E6"/>
    <mergeCell ref="D7:E7"/>
    <mergeCell ref="D8:E8"/>
    <mergeCell ref="D18:E18"/>
    <mergeCell ref="D14:E14"/>
    <mergeCell ref="D9:E9"/>
    <mergeCell ref="D10:E10"/>
    <mergeCell ref="B12:E12"/>
    <mergeCell ref="D13:E13"/>
  </mergeCells>
  <pageMargins left="0.511811024" right="0.511811024" top="0.78740157499999996" bottom="0.78740157499999996" header="0.31496062000000002" footer="0.31496062000000002"/>
  <pageSetup paperSize="9" scale="74" fitToHeight="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9B17FD-E92E-4427-B97E-0EA8F1E1B3DE}">
  <sheetPr>
    <pageSetUpPr fitToPage="1"/>
  </sheetPr>
  <dimension ref="B1:F138"/>
  <sheetViews>
    <sheetView topLeftCell="A44" workbookViewId="0">
      <selection activeCell="D55" sqref="D55"/>
    </sheetView>
  </sheetViews>
  <sheetFormatPr defaultRowHeight="15" x14ac:dyDescent="0.25"/>
  <cols>
    <col min="2" max="2" width="17.85546875" customWidth="1"/>
    <col min="3" max="3" width="57.85546875" customWidth="1"/>
    <col min="4" max="4" width="9.42578125" bestFit="1" customWidth="1"/>
    <col min="5" max="5" width="31.42578125" customWidth="1"/>
    <col min="6" max="6" width="10.140625" bestFit="1" customWidth="1"/>
  </cols>
  <sheetData>
    <row r="1" spans="2:5" x14ac:dyDescent="0.25">
      <c r="B1" s="516" t="s">
        <v>0</v>
      </c>
      <c r="C1" s="516"/>
      <c r="D1" s="516"/>
      <c r="E1" s="516"/>
    </row>
    <row r="2" spans="2:5" x14ac:dyDescent="0.25">
      <c r="B2" s="518"/>
      <c r="C2" s="518"/>
      <c r="D2" s="518"/>
      <c r="E2" s="518"/>
    </row>
    <row r="3" spans="2:5" x14ac:dyDescent="0.25">
      <c r="B3" s="518" t="s">
        <v>1</v>
      </c>
      <c r="C3" s="518"/>
      <c r="D3" s="518"/>
      <c r="E3" s="518"/>
    </row>
    <row r="4" spans="2:5" x14ac:dyDescent="0.25">
      <c r="B4" s="517" t="s">
        <v>116</v>
      </c>
      <c r="C4" s="517"/>
      <c r="D4" s="517"/>
      <c r="E4" s="517"/>
    </row>
    <row r="5" spans="2:5" x14ac:dyDescent="0.25">
      <c r="B5" s="493"/>
      <c r="C5" s="493"/>
      <c r="D5" s="493"/>
      <c r="E5" s="493"/>
    </row>
    <row r="6" spans="2:5" x14ac:dyDescent="0.25">
      <c r="B6" s="494" t="s">
        <v>2</v>
      </c>
      <c r="C6" s="494"/>
      <c r="D6" s="494"/>
      <c r="E6" s="494"/>
    </row>
    <row r="7" spans="2:5" x14ac:dyDescent="0.25">
      <c r="B7" s="3" t="s">
        <v>3</v>
      </c>
      <c r="C7" s="4" t="s">
        <v>4</v>
      </c>
      <c r="D7" s="495"/>
      <c r="E7" s="496"/>
    </row>
    <row r="8" spans="2:5" x14ac:dyDescent="0.25">
      <c r="B8" s="3" t="s">
        <v>5</v>
      </c>
      <c r="C8" s="4" t="s">
        <v>6</v>
      </c>
      <c r="D8" s="496"/>
      <c r="E8" s="496"/>
    </row>
    <row r="9" spans="2:5" x14ac:dyDescent="0.25">
      <c r="B9" s="3" t="s">
        <v>7</v>
      </c>
      <c r="C9" s="4" t="s">
        <v>8</v>
      </c>
      <c r="D9" s="497"/>
      <c r="E9" s="496"/>
    </row>
    <row r="10" spans="2:5" x14ac:dyDescent="0.25">
      <c r="B10" s="3" t="s">
        <v>9</v>
      </c>
      <c r="C10" s="4" t="s">
        <v>10</v>
      </c>
      <c r="D10" s="496"/>
      <c r="E10" s="496"/>
    </row>
    <row r="11" spans="2:5" x14ac:dyDescent="0.25">
      <c r="B11" s="2"/>
      <c r="C11" s="5"/>
      <c r="D11" s="2"/>
      <c r="E11" s="2"/>
    </row>
    <row r="12" spans="2:5" x14ac:dyDescent="0.25">
      <c r="B12" s="494" t="s">
        <v>11</v>
      </c>
      <c r="C12" s="494"/>
      <c r="D12" s="494"/>
      <c r="E12" s="494"/>
    </row>
    <row r="13" spans="2:5" x14ac:dyDescent="0.25">
      <c r="B13" s="60" t="s">
        <v>12</v>
      </c>
      <c r="C13" s="3" t="s">
        <v>13</v>
      </c>
      <c r="D13" s="496" t="s">
        <v>171</v>
      </c>
      <c r="E13" s="496"/>
    </row>
    <row r="14" spans="2:5" ht="38.25" x14ac:dyDescent="0.25">
      <c r="B14" s="65" t="s">
        <v>117</v>
      </c>
      <c r="C14" s="3" t="s">
        <v>14</v>
      </c>
      <c r="D14" s="496"/>
      <c r="E14" s="496"/>
    </row>
    <row r="15" spans="2:5" x14ac:dyDescent="0.25">
      <c r="B15" s="2"/>
      <c r="C15" s="5"/>
      <c r="D15" s="2"/>
      <c r="E15" s="2"/>
    </row>
    <row r="16" spans="2:5" x14ac:dyDescent="0.25">
      <c r="B16" s="494" t="s">
        <v>15</v>
      </c>
      <c r="C16" s="494"/>
      <c r="D16" s="494"/>
      <c r="E16" s="494"/>
    </row>
    <row r="17" spans="2:5" x14ac:dyDescent="0.25">
      <c r="B17" s="3">
        <v>1</v>
      </c>
      <c r="C17" s="4" t="s">
        <v>16</v>
      </c>
      <c r="D17" s="496"/>
      <c r="E17" s="496"/>
    </row>
    <row r="18" spans="2:5" x14ac:dyDescent="0.25">
      <c r="B18" s="3">
        <v>2</v>
      </c>
      <c r="C18" s="4" t="s">
        <v>17</v>
      </c>
      <c r="D18" s="496"/>
      <c r="E18" s="496"/>
    </row>
    <row r="19" spans="2:5" x14ac:dyDescent="0.25">
      <c r="B19" s="3">
        <v>3</v>
      </c>
      <c r="C19" s="4" t="s">
        <v>18</v>
      </c>
      <c r="D19" s="498"/>
      <c r="E19" s="496"/>
    </row>
    <row r="20" spans="2:5" x14ac:dyDescent="0.25">
      <c r="B20" s="3">
        <v>4</v>
      </c>
      <c r="C20" s="4" t="s">
        <v>19</v>
      </c>
      <c r="D20" s="496"/>
      <c r="E20" s="496"/>
    </row>
    <row r="21" spans="2:5" x14ac:dyDescent="0.25">
      <c r="B21" s="3">
        <v>5</v>
      </c>
      <c r="C21" s="4" t="s">
        <v>20</v>
      </c>
      <c r="D21" s="495"/>
      <c r="E21" s="496"/>
    </row>
    <row r="22" spans="2:5" x14ac:dyDescent="0.25">
      <c r="B22" s="503"/>
      <c r="C22" s="503"/>
      <c r="D22" s="503"/>
      <c r="E22" s="503"/>
    </row>
    <row r="23" spans="2:5" x14ac:dyDescent="0.25">
      <c r="B23" s="504" t="s">
        <v>21</v>
      </c>
      <c r="C23" s="504"/>
      <c r="D23" s="504"/>
      <c r="E23" s="504"/>
    </row>
    <row r="24" spans="2:5" x14ac:dyDescent="0.25">
      <c r="B24" s="6">
        <v>1</v>
      </c>
      <c r="C24" s="6" t="s">
        <v>22</v>
      </c>
      <c r="D24" s="6" t="s">
        <v>23</v>
      </c>
      <c r="E24" s="6" t="s">
        <v>24</v>
      </c>
    </row>
    <row r="25" spans="2:5" x14ac:dyDescent="0.25">
      <c r="B25" s="6" t="s">
        <v>3</v>
      </c>
      <c r="C25" s="4" t="s">
        <v>25</v>
      </c>
      <c r="D25" s="7"/>
      <c r="E25" s="66">
        <v>3111.12</v>
      </c>
    </row>
    <row r="26" spans="2:5" x14ac:dyDescent="0.25">
      <c r="B26" s="6" t="s">
        <v>5</v>
      </c>
      <c r="C26" s="4" t="s">
        <v>26</v>
      </c>
      <c r="D26" s="8"/>
      <c r="E26" s="66">
        <f>E25*30%</f>
        <v>933.3359999999999</v>
      </c>
    </row>
    <row r="27" spans="2:5" x14ac:dyDescent="0.25">
      <c r="B27" s="6" t="s">
        <v>7</v>
      </c>
      <c r="C27" s="4" t="s">
        <v>27</v>
      </c>
      <c r="D27" s="8"/>
      <c r="E27" s="66">
        <v>0</v>
      </c>
    </row>
    <row r="28" spans="2:5" x14ac:dyDescent="0.25">
      <c r="B28" s="6" t="s">
        <v>9</v>
      </c>
      <c r="C28" s="4" t="s">
        <v>28</v>
      </c>
      <c r="D28" s="8"/>
      <c r="E28" s="66">
        <v>0</v>
      </c>
    </row>
    <row r="29" spans="2:5" x14ac:dyDescent="0.25">
      <c r="B29" s="6" t="s">
        <v>29</v>
      </c>
      <c r="C29" s="4" t="s">
        <v>30</v>
      </c>
      <c r="D29" s="9"/>
      <c r="E29" s="66">
        <v>0</v>
      </c>
    </row>
    <row r="30" spans="2:5" x14ac:dyDescent="0.25">
      <c r="B30" s="6" t="s">
        <v>31</v>
      </c>
      <c r="C30" s="4" t="s">
        <v>32</v>
      </c>
      <c r="D30" s="8"/>
      <c r="E30" s="66">
        <v>0</v>
      </c>
    </row>
    <row r="31" spans="2:5" x14ac:dyDescent="0.25">
      <c r="B31" s="500" t="s">
        <v>33</v>
      </c>
      <c r="C31" s="500"/>
      <c r="D31" s="500"/>
      <c r="E31" s="67">
        <f>SUM(E25:E30)</f>
        <v>4044.4559999999997</v>
      </c>
    </row>
    <row r="32" spans="2:5" x14ac:dyDescent="0.25">
      <c r="B32" s="1"/>
      <c r="C32" s="1"/>
      <c r="D32" s="1"/>
      <c r="E32" s="10"/>
    </row>
    <row r="33" spans="2:5" x14ac:dyDescent="0.25">
      <c r="B33" s="504" t="s">
        <v>34</v>
      </c>
      <c r="C33" s="504"/>
      <c r="D33" s="504"/>
      <c r="E33" s="504"/>
    </row>
    <row r="34" spans="2:5" x14ac:dyDescent="0.25">
      <c r="B34" s="499" t="s">
        <v>35</v>
      </c>
      <c r="C34" s="499"/>
      <c r="D34" s="11" t="s">
        <v>23</v>
      </c>
      <c r="E34" s="11" t="s">
        <v>24</v>
      </c>
    </row>
    <row r="35" spans="2:5" x14ac:dyDescent="0.25">
      <c r="B35" s="6" t="s">
        <v>3</v>
      </c>
      <c r="C35" s="4" t="s">
        <v>119</v>
      </c>
      <c r="D35" s="12">
        <f>'Vigilante 5x2'!D35</f>
        <v>8.3299999999999999E-2</v>
      </c>
      <c r="E35" s="66">
        <f>TRUNC($E$31*D35,2)</f>
        <v>336.9</v>
      </c>
    </row>
    <row r="36" spans="2:5" x14ac:dyDescent="0.25">
      <c r="B36" s="6" t="s">
        <v>5</v>
      </c>
      <c r="C36" s="4" t="s">
        <v>120</v>
      </c>
      <c r="D36" s="13">
        <f>'Vigilante 5x2'!D36</f>
        <v>0.121</v>
      </c>
      <c r="E36" s="66">
        <f>TRUNC($E$31*D36,2)</f>
        <v>489.37</v>
      </c>
    </row>
    <row r="37" spans="2:5" x14ac:dyDescent="0.25">
      <c r="B37" s="500" t="s">
        <v>36</v>
      </c>
      <c r="C37" s="500"/>
      <c r="D37" s="14">
        <f>SUM(D35:D36)</f>
        <v>0.20429999999999998</v>
      </c>
      <c r="E37" s="67">
        <f>SUM(E35:E36)</f>
        <v>826.27</v>
      </c>
    </row>
    <row r="38" spans="2:5" x14ac:dyDescent="0.25">
      <c r="B38" s="501"/>
      <c r="C38" s="502"/>
      <c r="D38" s="502"/>
      <c r="E38" s="502"/>
    </row>
    <row r="39" spans="2:5" x14ac:dyDescent="0.25">
      <c r="B39" s="499" t="s">
        <v>37</v>
      </c>
      <c r="C39" s="499"/>
      <c r="D39" s="11" t="s">
        <v>23</v>
      </c>
      <c r="E39" s="11" t="s">
        <v>24</v>
      </c>
    </row>
    <row r="40" spans="2:5" x14ac:dyDescent="0.25">
      <c r="B40" s="6" t="s">
        <v>3</v>
      </c>
      <c r="C40" s="4" t="s">
        <v>38</v>
      </c>
      <c r="D40" s="12">
        <f>'Vigilante 5x2'!D40</f>
        <v>0.2</v>
      </c>
      <c r="E40" s="66">
        <f>TRUNC(($E$31+$E$37)*$D$40,2)</f>
        <v>974.14</v>
      </c>
    </row>
    <row r="41" spans="2:5" x14ac:dyDescent="0.25">
      <c r="B41" s="6" t="s">
        <v>5</v>
      </c>
      <c r="C41" s="4" t="s">
        <v>39</v>
      </c>
      <c r="D41" s="12">
        <f>'Vigilante 5x2'!D41</f>
        <v>2.5000000000000001E-2</v>
      </c>
      <c r="E41" s="66">
        <f>TRUNC(($E$31+$E$37)*$D$41,2)</f>
        <v>121.76</v>
      </c>
    </row>
    <row r="42" spans="2:5" x14ac:dyDescent="0.25">
      <c r="B42" s="6" t="s">
        <v>7</v>
      </c>
      <c r="C42" s="4" t="s">
        <v>40</v>
      </c>
      <c r="D42" s="12">
        <f>'Vigilante 5x2'!D42</f>
        <v>1.4999999999999999E-2</v>
      </c>
      <c r="E42" s="66">
        <f>TRUNC(($E$31+$E$37)*$D$42,2)</f>
        <v>73.06</v>
      </c>
    </row>
    <row r="43" spans="2:5" x14ac:dyDescent="0.25">
      <c r="B43" s="6" t="s">
        <v>9</v>
      </c>
      <c r="C43" s="4" t="s">
        <v>41</v>
      </c>
      <c r="D43" s="12">
        <f>'Vigilante 5x2'!D43</f>
        <v>1.4999999999999999E-2</v>
      </c>
      <c r="E43" s="66">
        <f>TRUNC(($E$31+$E$37)*$D$43,2)</f>
        <v>73.06</v>
      </c>
    </row>
    <row r="44" spans="2:5" x14ac:dyDescent="0.25">
      <c r="B44" s="6" t="s">
        <v>29</v>
      </c>
      <c r="C44" s="4" t="s">
        <v>42</v>
      </c>
      <c r="D44" s="12">
        <f>'Vigilante 5x2'!D44</f>
        <v>0.01</v>
      </c>
      <c r="E44" s="66">
        <f>TRUNC(($E$31+$E$37)*$D$44,2)</f>
        <v>48.7</v>
      </c>
    </row>
    <row r="45" spans="2:5" x14ac:dyDescent="0.25">
      <c r="B45" s="6" t="s">
        <v>31</v>
      </c>
      <c r="C45" s="4" t="s">
        <v>43</v>
      </c>
      <c r="D45" s="12">
        <f>'Vigilante 5x2'!D45</f>
        <v>6.0000000000000001E-3</v>
      </c>
      <c r="E45" s="66">
        <f>TRUNC(($E$31+$E$37)*$D$45,2)</f>
        <v>29.22</v>
      </c>
    </row>
    <row r="46" spans="2:5" x14ac:dyDescent="0.25">
      <c r="B46" s="6" t="s">
        <v>44</v>
      </c>
      <c r="C46" s="4" t="s">
        <v>45</v>
      </c>
      <c r="D46" s="12">
        <f>'Vigilante 5x2'!D46</f>
        <v>2E-3</v>
      </c>
      <c r="E46" s="66">
        <f>TRUNC(($E$31+$E$37)*$D$46,2)</f>
        <v>9.74</v>
      </c>
    </row>
    <row r="47" spans="2:5" x14ac:dyDescent="0.25">
      <c r="B47" s="6" t="s">
        <v>46</v>
      </c>
      <c r="C47" s="4" t="s">
        <v>47</v>
      </c>
      <c r="D47" s="12">
        <f>'Vigilante 5x2'!D47</f>
        <v>0.08</v>
      </c>
      <c r="E47" s="66">
        <f>TRUNC(($E$31+$E$37)*$D$47,2)</f>
        <v>389.65</v>
      </c>
    </row>
    <row r="48" spans="2:5" x14ac:dyDescent="0.25">
      <c r="B48" s="500" t="s">
        <v>48</v>
      </c>
      <c r="C48" s="500"/>
      <c r="D48" s="14">
        <f>SUM(D40:D47)</f>
        <v>0.35300000000000004</v>
      </c>
      <c r="E48" s="67">
        <f>SUM(E40:E47)</f>
        <v>1719.33</v>
      </c>
    </row>
    <row r="49" spans="2:6" x14ac:dyDescent="0.25">
      <c r="B49" s="519"/>
      <c r="C49" s="519"/>
      <c r="D49" s="519"/>
      <c r="E49" s="520"/>
    </row>
    <row r="50" spans="2:6" x14ac:dyDescent="0.25">
      <c r="B50" s="499" t="s">
        <v>49</v>
      </c>
      <c r="C50" s="499"/>
      <c r="D50" s="16"/>
      <c r="E50" s="11" t="s">
        <v>24</v>
      </c>
    </row>
    <row r="51" spans="2:6" x14ac:dyDescent="0.25">
      <c r="B51" s="6" t="s">
        <v>3</v>
      </c>
      <c r="C51" s="7" t="s">
        <v>121</v>
      </c>
      <c r="D51" s="18">
        <f>'Vigilante 5x2'!D51</f>
        <v>11</v>
      </c>
      <c r="E51" s="69">
        <f>TRUNC((5.5*2*22)-(6%*E25),2)</f>
        <v>55.33</v>
      </c>
    </row>
    <row r="52" spans="2:6" x14ac:dyDescent="0.25">
      <c r="B52" s="6" t="s">
        <v>5</v>
      </c>
      <c r="C52" s="7" t="s">
        <v>125</v>
      </c>
      <c r="D52" s="18">
        <f>'Vigilante 5x2'!D52</f>
        <v>44.216999999999999</v>
      </c>
      <c r="E52" s="69">
        <f>TRUNC(D52*22,2)</f>
        <v>972.77</v>
      </c>
      <c r="F52" s="38"/>
    </row>
    <row r="53" spans="2:6" x14ac:dyDescent="0.25">
      <c r="B53" s="6" t="s">
        <v>7</v>
      </c>
      <c r="C53" s="37" t="s">
        <v>122</v>
      </c>
      <c r="D53" s="18"/>
      <c r="E53" s="69" t="s">
        <v>50</v>
      </c>
    </row>
    <row r="54" spans="2:6" x14ac:dyDescent="0.25">
      <c r="B54" s="6" t="s">
        <v>9</v>
      </c>
      <c r="C54" s="7" t="s">
        <v>51</v>
      </c>
      <c r="D54" s="18">
        <v>25.48</v>
      </c>
      <c r="E54" s="69">
        <f>D54</f>
        <v>25.48</v>
      </c>
    </row>
    <row r="55" spans="2:6" x14ac:dyDescent="0.25">
      <c r="B55" s="6" t="s">
        <v>29</v>
      </c>
      <c r="C55" s="37" t="s">
        <v>123</v>
      </c>
      <c r="D55" s="3"/>
      <c r="E55" s="69" t="s">
        <v>50</v>
      </c>
    </row>
    <row r="56" spans="2:6" x14ac:dyDescent="0.25">
      <c r="B56" s="6" t="s">
        <v>31</v>
      </c>
      <c r="C56" s="37" t="s">
        <v>124</v>
      </c>
      <c r="D56" s="3"/>
      <c r="E56" s="69">
        <v>0</v>
      </c>
    </row>
    <row r="57" spans="2:6" x14ac:dyDescent="0.25">
      <c r="B57" s="6" t="s">
        <v>44</v>
      </c>
      <c r="C57" s="7" t="s">
        <v>32</v>
      </c>
      <c r="D57" s="3"/>
      <c r="E57" s="69" t="s">
        <v>50</v>
      </c>
    </row>
    <row r="58" spans="2:6" x14ac:dyDescent="0.25">
      <c r="B58" s="500" t="s">
        <v>52</v>
      </c>
      <c r="C58" s="500"/>
      <c r="D58" s="500"/>
      <c r="E58" s="67">
        <f>SUM(E51:E57)</f>
        <v>1053.58</v>
      </c>
    </row>
    <row r="59" spans="2:6" x14ac:dyDescent="0.25">
      <c r="B59" s="519"/>
      <c r="C59" s="519"/>
      <c r="D59" s="519"/>
      <c r="E59" s="520"/>
    </row>
    <row r="60" spans="2:6" x14ac:dyDescent="0.25">
      <c r="B60" s="494" t="s">
        <v>53</v>
      </c>
      <c r="C60" s="494"/>
      <c r="D60" s="494"/>
      <c r="E60" s="494"/>
    </row>
    <row r="61" spans="2:6" x14ac:dyDescent="0.25">
      <c r="B61" s="500" t="s">
        <v>54</v>
      </c>
      <c r="C61" s="500"/>
      <c r="D61" s="500"/>
      <c r="E61" s="6" t="s">
        <v>24</v>
      </c>
    </row>
    <row r="62" spans="2:6" x14ac:dyDescent="0.25">
      <c r="B62" s="6" t="s">
        <v>55</v>
      </c>
      <c r="C62" s="507" t="s">
        <v>56</v>
      </c>
      <c r="D62" s="507"/>
      <c r="E62" s="66">
        <f>E37</f>
        <v>826.27</v>
      </c>
    </row>
    <row r="63" spans="2:6" x14ac:dyDescent="0.25">
      <c r="B63" s="6" t="s">
        <v>57</v>
      </c>
      <c r="C63" s="507" t="s">
        <v>58</v>
      </c>
      <c r="D63" s="507"/>
      <c r="E63" s="66">
        <f>E48</f>
        <v>1719.33</v>
      </c>
    </row>
    <row r="64" spans="2:6" x14ac:dyDescent="0.25">
      <c r="B64" s="6" t="s">
        <v>59</v>
      </c>
      <c r="C64" s="507" t="s">
        <v>60</v>
      </c>
      <c r="D64" s="507"/>
      <c r="E64" s="66">
        <f>E58</f>
        <v>1053.58</v>
      </c>
    </row>
    <row r="65" spans="2:5" x14ac:dyDescent="0.25">
      <c r="B65" s="500" t="s">
        <v>61</v>
      </c>
      <c r="C65" s="500"/>
      <c r="D65" s="500"/>
      <c r="E65" s="67">
        <f>SUM(E62:E64)</f>
        <v>3599.18</v>
      </c>
    </row>
    <row r="66" spans="2:5" x14ac:dyDescent="0.25">
      <c r="B66" s="509"/>
      <c r="C66" s="510"/>
      <c r="D66" s="510"/>
      <c r="E66" s="510"/>
    </row>
    <row r="67" spans="2:5" x14ac:dyDescent="0.25">
      <c r="B67" s="504" t="s">
        <v>62</v>
      </c>
      <c r="C67" s="504"/>
      <c r="D67" s="504"/>
      <c r="E67" s="504"/>
    </row>
    <row r="68" spans="2:5" x14ac:dyDescent="0.25">
      <c r="B68" s="6">
        <v>3</v>
      </c>
      <c r="C68" s="6" t="s">
        <v>63</v>
      </c>
      <c r="D68" s="6" t="s">
        <v>23</v>
      </c>
      <c r="E68" s="6" t="s">
        <v>24</v>
      </c>
    </row>
    <row r="69" spans="2:5" x14ac:dyDescent="0.25">
      <c r="B69" s="6" t="s">
        <v>3</v>
      </c>
      <c r="C69" s="4" t="s">
        <v>64</v>
      </c>
      <c r="D69" s="12">
        <f>'Vigilante 5x2'!D69</f>
        <v>4.0000000000000002E-4</v>
      </c>
      <c r="E69" s="66">
        <f>TRUNC(D69*$E$31,2)</f>
        <v>1.61</v>
      </c>
    </row>
    <row r="70" spans="2:5" x14ac:dyDescent="0.25">
      <c r="B70" s="6" t="s">
        <v>5</v>
      </c>
      <c r="C70" s="4" t="s">
        <v>65</v>
      </c>
      <c r="D70" s="154">
        <f>'Vigilante 5x2'!D70</f>
        <v>3.2000000000000005E-5</v>
      </c>
      <c r="E70" s="66">
        <f>TRUNC(D70*$E$31,2)</f>
        <v>0.12</v>
      </c>
    </row>
    <row r="71" spans="2:5" x14ac:dyDescent="0.25">
      <c r="B71" s="6" t="s">
        <v>7</v>
      </c>
      <c r="C71" s="4" t="s">
        <v>66</v>
      </c>
      <c r="D71" s="12">
        <f>'Vigilante 5x2'!D71</f>
        <v>2.0000000000000001E-4</v>
      </c>
      <c r="E71" s="66">
        <f t="shared" ref="E71:E72" si="0">TRUNC(D71*$E$31,2)</f>
        <v>0.8</v>
      </c>
    </row>
    <row r="72" spans="2:5" x14ac:dyDescent="0.25">
      <c r="B72" s="6" t="s">
        <v>9</v>
      </c>
      <c r="C72" s="4" t="s">
        <v>67</v>
      </c>
      <c r="D72" s="155">
        <f>'Vigilante 5x2'!D72</f>
        <v>1.6000000000000003E-5</v>
      </c>
      <c r="E72" s="66">
        <f t="shared" si="0"/>
        <v>0.06</v>
      </c>
    </row>
    <row r="73" spans="2:5" ht="25.5" customHeight="1" x14ac:dyDescent="0.25">
      <c r="B73" s="6" t="s">
        <v>29</v>
      </c>
      <c r="C73" s="61" t="s">
        <v>68</v>
      </c>
      <c r="D73" s="12">
        <f>'Vigilante 5x2'!D73</f>
        <v>0.04</v>
      </c>
      <c r="E73" s="66">
        <f>TRUNC(D73*$E$31,2)</f>
        <v>161.77000000000001</v>
      </c>
    </row>
    <row r="74" spans="2:5" x14ac:dyDescent="0.25">
      <c r="B74" s="500" t="s">
        <v>69</v>
      </c>
      <c r="C74" s="500"/>
      <c r="D74" s="14">
        <f>SUM(D69:D73)</f>
        <v>4.0648000000000004E-2</v>
      </c>
      <c r="E74" s="67">
        <f>SUM(E69:E73)</f>
        <v>164.36</v>
      </c>
    </row>
    <row r="75" spans="2:5" x14ac:dyDescent="0.25">
      <c r="B75" s="514"/>
      <c r="C75" s="515"/>
      <c r="D75" s="515"/>
      <c r="E75" s="515"/>
    </row>
    <row r="76" spans="2:5" x14ac:dyDescent="0.25">
      <c r="B76" s="504" t="s">
        <v>70</v>
      </c>
      <c r="C76" s="504"/>
      <c r="D76" s="504"/>
      <c r="E76" s="504"/>
    </row>
    <row r="77" spans="2:5" x14ac:dyDescent="0.25">
      <c r="B77" s="500" t="s">
        <v>71</v>
      </c>
      <c r="C77" s="500"/>
      <c r="D77" s="6" t="s">
        <v>23</v>
      </c>
      <c r="E77" s="6" t="s">
        <v>24</v>
      </c>
    </row>
    <row r="78" spans="2:5" ht="15" customHeight="1" x14ac:dyDescent="0.25">
      <c r="B78" s="6" t="s">
        <v>3</v>
      </c>
      <c r="C78" s="4" t="s">
        <v>72</v>
      </c>
      <c r="D78" s="12">
        <f>'Vigilante 5x2'!D78</f>
        <v>9.7000000000000003E-3</v>
      </c>
      <c r="E78" s="66">
        <f>(E$125+E$126+E$127)*D78</f>
        <v>75.737561199999988</v>
      </c>
    </row>
    <row r="79" spans="2:5" x14ac:dyDescent="0.25">
      <c r="B79" s="6" t="s">
        <v>5</v>
      </c>
      <c r="C79" s="4" t="s">
        <v>73</v>
      </c>
      <c r="D79" s="12">
        <f>'Vigilante 5x2'!D79</f>
        <v>1E-4</v>
      </c>
      <c r="E79" s="66">
        <f>(E$125+E$126+E$127)*D79</f>
        <v>0.78079959999999993</v>
      </c>
    </row>
    <row r="80" spans="2:5" x14ac:dyDescent="0.25">
      <c r="B80" s="6" t="s">
        <v>7</v>
      </c>
      <c r="C80" s="4" t="s">
        <v>74</v>
      </c>
      <c r="D80" s="12">
        <f>'Vigilante 5x2'!D80</f>
        <v>1E-4</v>
      </c>
      <c r="E80" s="66">
        <f>(E$125+E$126+E$127)*D80</f>
        <v>0.78079959999999993</v>
      </c>
    </row>
    <row r="81" spans="2:5" x14ac:dyDescent="0.25">
      <c r="B81" s="6" t="s">
        <v>9</v>
      </c>
      <c r="C81" s="4" t="s">
        <v>75</v>
      </c>
      <c r="D81" s="12">
        <f>'Vigilante 5x2'!D81</f>
        <v>1E-4</v>
      </c>
      <c r="E81" s="66">
        <f>(E$125+E$126+E$127)*D81</f>
        <v>0.78079959999999993</v>
      </c>
    </row>
    <row r="82" spans="2:5" x14ac:dyDescent="0.25">
      <c r="B82" s="6" t="s">
        <v>29</v>
      </c>
      <c r="C82" s="4" t="s">
        <v>76</v>
      </c>
      <c r="D82" s="12">
        <f>'Vigilante 5x2'!D82</f>
        <v>1E-4</v>
      </c>
      <c r="E82" s="66">
        <f>(E$125+E$126+E$127)*D82</f>
        <v>0.78079959999999993</v>
      </c>
    </row>
    <row r="83" spans="2:5" x14ac:dyDescent="0.25">
      <c r="B83" s="6" t="s">
        <v>31</v>
      </c>
      <c r="C83" s="4" t="s">
        <v>77</v>
      </c>
      <c r="D83" s="12"/>
      <c r="E83" s="66">
        <f t="shared" ref="E83" si="1">TRUNC(($E$31)*D83,2)</f>
        <v>0</v>
      </c>
    </row>
    <row r="84" spans="2:5" x14ac:dyDescent="0.25">
      <c r="B84" s="500" t="s">
        <v>78</v>
      </c>
      <c r="C84" s="500"/>
      <c r="D84" s="14">
        <f>SUM(D78:D83)</f>
        <v>1.0099999999999998E-2</v>
      </c>
      <c r="E84" s="67">
        <f>SUM(E78:E83)</f>
        <v>78.860759599999966</v>
      </c>
    </row>
    <row r="85" spans="2:5" x14ac:dyDescent="0.25">
      <c r="B85" s="505"/>
      <c r="C85" s="506"/>
      <c r="D85" s="506"/>
      <c r="E85" s="506"/>
    </row>
    <row r="86" spans="2:5" x14ac:dyDescent="0.25">
      <c r="B86" s="500" t="s">
        <v>79</v>
      </c>
      <c r="C86" s="500"/>
      <c r="D86" s="6" t="s">
        <v>23</v>
      </c>
      <c r="E86" s="6" t="s">
        <v>24</v>
      </c>
    </row>
    <row r="87" spans="2:5" x14ac:dyDescent="0.25">
      <c r="B87" s="6" t="s">
        <v>3</v>
      </c>
      <c r="C87" s="61" t="s">
        <v>80</v>
      </c>
      <c r="D87" s="12"/>
      <c r="E87" s="66">
        <v>0</v>
      </c>
    </row>
    <row r="88" spans="2:5" x14ac:dyDescent="0.25">
      <c r="B88" s="500" t="s">
        <v>81</v>
      </c>
      <c r="C88" s="500"/>
      <c r="D88" s="14">
        <v>0</v>
      </c>
      <c r="E88" s="67">
        <v>0</v>
      </c>
    </row>
    <row r="89" spans="2:5" x14ac:dyDescent="0.25">
      <c r="B89" s="511"/>
      <c r="C89" s="512"/>
      <c r="D89" s="512"/>
      <c r="E89" s="512"/>
    </row>
    <row r="90" spans="2:5" x14ac:dyDescent="0.25">
      <c r="B90" s="494" t="s">
        <v>82</v>
      </c>
      <c r="C90" s="494"/>
      <c r="D90" s="494"/>
      <c r="E90" s="494"/>
    </row>
    <row r="91" spans="2:5" x14ac:dyDescent="0.25">
      <c r="B91" s="500" t="s">
        <v>83</v>
      </c>
      <c r="C91" s="500"/>
      <c r="D91" s="500"/>
      <c r="E91" s="6" t="s">
        <v>24</v>
      </c>
    </row>
    <row r="92" spans="2:5" x14ac:dyDescent="0.25">
      <c r="B92" s="6" t="s">
        <v>84</v>
      </c>
      <c r="C92" s="507" t="s">
        <v>85</v>
      </c>
      <c r="D92" s="507"/>
      <c r="E92" s="66">
        <f>E84</f>
        <v>78.860759599999966</v>
      </c>
    </row>
    <row r="93" spans="2:5" x14ac:dyDescent="0.25">
      <c r="B93" s="6" t="s">
        <v>86</v>
      </c>
      <c r="C93" s="507" t="s">
        <v>87</v>
      </c>
      <c r="D93" s="507"/>
      <c r="E93" s="66">
        <f>E88</f>
        <v>0</v>
      </c>
    </row>
    <row r="94" spans="2:5" x14ac:dyDescent="0.25">
      <c r="B94" s="500" t="s">
        <v>88</v>
      </c>
      <c r="C94" s="500"/>
      <c r="D94" s="500"/>
      <c r="E94" s="67">
        <f>SUM(E92:E93)</f>
        <v>78.860759599999966</v>
      </c>
    </row>
    <row r="95" spans="2:5" x14ac:dyDescent="0.25">
      <c r="B95" s="509"/>
      <c r="C95" s="510"/>
      <c r="D95" s="510"/>
      <c r="E95" s="510"/>
    </row>
    <row r="96" spans="2:5" x14ac:dyDescent="0.25">
      <c r="B96" s="504" t="s">
        <v>89</v>
      </c>
      <c r="C96" s="504"/>
      <c r="D96" s="504"/>
      <c r="E96" s="504"/>
    </row>
    <row r="97" spans="2:5" x14ac:dyDescent="0.25">
      <c r="B97" s="6">
        <v>5</v>
      </c>
      <c r="C97" s="6" t="s">
        <v>90</v>
      </c>
      <c r="D97" s="6"/>
      <c r="E97" s="6" t="s">
        <v>24</v>
      </c>
    </row>
    <row r="98" spans="2:5" x14ac:dyDescent="0.25">
      <c r="B98" s="6" t="s">
        <v>3</v>
      </c>
      <c r="C98" s="7" t="s">
        <v>91</v>
      </c>
      <c r="D98" s="12"/>
      <c r="E98" s="66">
        <f>Uniforme!G27</f>
        <v>79.374999999999986</v>
      </c>
    </row>
    <row r="99" spans="2:5" x14ac:dyDescent="0.25">
      <c r="B99" s="6" t="s">
        <v>5</v>
      </c>
      <c r="C99" s="59" t="s">
        <v>169</v>
      </c>
      <c r="D99" s="12"/>
      <c r="E99" s="66">
        <f>Materiais!F22</f>
        <v>13.00079365079365</v>
      </c>
    </row>
    <row r="100" spans="2:5" x14ac:dyDescent="0.25">
      <c r="B100" s="15" t="s">
        <v>7</v>
      </c>
      <c r="C100" s="59" t="s">
        <v>170</v>
      </c>
      <c r="D100" s="3"/>
      <c r="E100" s="66"/>
    </row>
    <row r="101" spans="2:5" x14ac:dyDescent="0.25">
      <c r="B101" s="15" t="s">
        <v>9</v>
      </c>
      <c r="C101" s="59" t="s">
        <v>32</v>
      </c>
      <c r="D101" s="3"/>
      <c r="E101" s="66"/>
    </row>
    <row r="102" spans="2:5" x14ac:dyDescent="0.25">
      <c r="B102" s="500" t="s">
        <v>92</v>
      </c>
      <c r="C102" s="500"/>
      <c r="D102" s="14"/>
      <c r="E102" s="67">
        <f>SUM(E98:E101)</f>
        <v>92.375793650793639</v>
      </c>
    </row>
    <row r="103" spans="2:5" x14ac:dyDescent="0.25">
      <c r="B103" s="509"/>
      <c r="C103" s="510"/>
      <c r="D103" s="510"/>
      <c r="E103" s="510"/>
    </row>
    <row r="104" spans="2:5" x14ac:dyDescent="0.25">
      <c r="B104" s="504" t="s">
        <v>93</v>
      </c>
      <c r="C104" s="504"/>
      <c r="D104" s="504"/>
      <c r="E104" s="504"/>
    </row>
    <row r="105" spans="2:5" x14ac:dyDescent="0.25">
      <c r="B105" s="6">
        <v>6</v>
      </c>
      <c r="C105" s="6" t="s">
        <v>94</v>
      </c>
      <c r="D105" s="6" t="s">
        <v>23</v>
      </c>
      <c r="E105" s="6" t="s">
        <v>24</v>
      </c>
    </row>
    <row r="106" spans="2:5" x14ac:dyDescent="0.25">
      <c r="B106" s="6" t="s">
        <v>3</v>
      </c>
      <c r="C106" s="4" t="s">
        <v>95</v>
      </c>
      <c r="D106" s="17">
        <f>'Vigilante 5x2'!D106</f>
        <v>5.0000000000000001E-3</v>
      </c>
      <c r="E106" s="66">
        <f>TRUNC(((E130)*D106),2)</f>
        <v>39.89</v>
      </c>
    </row>
    <row r="107" spans="2:5" x14ac:dyDescent="0.25">
      <c r="B107" s="6" t="s">
        <v>5</v>
      </c>
      <c r="C107" s="4" t="s">
        <v>96</v>
      </c>
      <c r="D107" s="17">
        <f>'Vigilante 5x2'!D107</f>
        <v>4.4365999999999997E-3</v>
      </c>
      <c r="E107" s="66">
        <f>TRUNC(((E130+E106)*D107),2)</f>
        <v>35.57</v>
      </c>
    </row>
    <row r="108" spans="2:5" x14ac:dyDescent="0.25">
      <c r="B108" s="6" t="s">
        <v>7</v>
      </c>
      <c r="C108" s="62" t="s">
        <v>97</v>
      </c>
      <c r="D108" s="8"/>
      <c r="E108" s="70"/>
    </row>
    <row r="109" spans="2:5" x14ac:dyDescent="0.25">
      <c r="B109" s="6" t="s">
        <v>98</v>
      </c>
      <c r="C109" s="4" t="s">
        <v>99</v>
      </c>
      <c r="D109" s="19">
        <f>'Vigilante 5x2'!D109</f>
        <v>0.03</v>
      </c>
      <c r="E109" s="66">
        <f>TRUNC(D109*((E130+E106+E107)/(1-D114)),2)</f>
        <v>264.52</v>
      </c>
    </row>
    <row r="110" spans="2:5" x14ac:dyDescent="0.25">
      <c r="B110" s="6" t="s">
        <v>100</v>
      </c>
      <c r="C110" s="4" t="s">
        <v>101</v>
      </c>
      <c r="D110" s="19">
        <f>'Vigilante 5x2'!D110</f>
        <v>6.4999999999999997E-3</v>
      </c>
      <c r="E110" s="66">
        <f>TRUNC(D110*(E130+E106+E107)/(1-D114),2)</f>
        <v>57.31</v>
      </c>
    </row>
    <row r="111" spans="2:5" x14ac:dyDescent="0.25">
      <c r="B111" s="6" t="s">
        <v>102</v>
      </c>
      <c r="C111" s="4" t="s">
        <v>103</v>
      </c>
      <c r="D111" s="19">
        <f>'Vigilante 5x2'!D111</f>
        <v>0.05</v>
      </c>
      <c r="E111" s="66">
        <f>TRUNC(D111*(E130+E106+E107)/(1-D114),2)</f>
        <v>440.86</v>
      </c>
    </row>
    <row r="112" spans="2:5" x14ac:dyDescent="0.25">
      <c r="B112" s="500" t="s">
        <v>104</v>
      </c>
      <c r="C112" s="500"/>
      <c r="D112" s="19">
        <f>SUM(D106:D111)</f>
        <v>9.5936600000000011E-2</v>
      </c>
      <c r="E112" s="67">
        <f>SUM(E106:E111)</f>
        <v>838.15000000000009</v>
      </c>
    </row>
    <row r="113" spans="2:5" x14ac:dyDescent="0.25">
      <c r="B113" s="2"/>
      <c r="C113" s="513"/>
      <c r="D113" s="513"/>
      <c r="E113" s="513"/>
    </row>
    <row r="114" spans="2:5" x14ac:dyDescent="0.25">
      <c r="B114" s="20" t="s">
        <v>105</v>
      </c>
      <c r="C114" s="63" t="s">
        <v>106</v>
      </c>
      <c r="D114" s="21">
        <f>D109+D110+D111</f>
        <v>8.6499999999999994E-2</v>
      </c>
      <c r="E114" s="22"/>
    </row>
    <row r="115" spans="2:5" x14ac:dyDescent="0.25">
      <c r="B115" s="23"/>
      <c r="C115" s="27">
        <v>100</v>
      </c>
      <c r="D115" s="24"/>
      <c r="E115" s="25"/>
    </row>
    <row r="116" spans="2:5" x14ac:dyDescent="0.25">
      <c r="B116" s="26"/>
      <c r="C116" s="27"/>
      <c r="D116" s="24"/>
      <c r="E116" s="25"/>
    </row>
    <row r="117" spans="2:5" x14ac:dyDescent="0.25">
      <c r="B117" s="23" t="s">
        <v>107</v>
      </c>
      <c r="C117" s="27" t="s">
        <v>108</v>
      </c>
      <c r="D117" s="24"/>
      <c r="E117" s="25">
        <f>E31+E65+E74+E94+E102+E106+E107</f>
        <v>8054.692553250793</v>
      </c>
    </row>
    <row r="118" spans="2:5" x14ac:dyDescent="0.25">
      <c r="B118" s="23"/>
      <c r="C118" s="27"/>
      <c r="D118" s="24"/>
      <c r="E118" s="25"/>
    </row>
    <row r="119" spans="2:5" x14ac:dyDescent="0.25">
      <c r="B119" s="23" t="s">
        <v>109</v>
      </c>
      <c r="C119" s="27" t="s">
        <v>110</v>
      </c>
      <c r="D119" s="24"/>
      <c r="E119" s="25">
        <f>TRUNC(E117/(1-D114),2)</f>
        <v>8817.39</v>
      </c>
    </row>
    <row r="120" spans="2:5" x14ac:dyDescent="0.25">
      <c r="B120" s="23"/>
      <c r="C120" s="27"/>
      <c r="D120" s="24"/>
      <c r="E120" s="25"/>
    </row>
    <row r="121" spans="2:5" x14ac:dyDescent="0.25">
      <c r="B121" s="28"/>
      <c r="C121" s="64" t="s">
        <v>111</v>
      </c>
      <c r="D121" s="29"/>
      <c r="E121" s="30">
        <f>E119-E117</f>
        <v>762.69744674920639</v>
      </c>
    </row>
    <row r="122" spans="2:5" x14ac:dyDescent="0.25">
      <c r="B122" s="2"/>
      <c r="C122" s="2"/>
      <c r="D122" s="2"/>
      <c r="E122" s="10"/>
    </row>
    <row r="123" spans="2:5" x14ac:dyDescent="0.25">
      <c r="B123" s="494" t="s">
        <v>112</v>
      </c>
      <c r="C123" s="494"/>
      <c r="D123" s="494"/>
      <c r="E123" s="494"/>
    </row>
    <row r="124" spans="2:5" x14ac:dyDescent="0.25">
      <c r="B124" s="500" t="s">
        <v>113</v>
      </c>
      <c r="C124" s="500"/>
      <c r="D124" s="500"/>
      <c r="E124" s="6" t="s">
        <v>24</v>
      </c>
    </row>
    <row r="125" spans="2:5" x14ac:dyDescent="0.25">
      <c r="B125" s="3" t="s">
        <v>3</v>
      </c>
      <c r="C125" s="507" t="s">
        <v>21</v>
      </c>
      <c r="D125" s="507"/>
      <c r="E125" s="66">
        <f>E31</f>
        <v>4044.4559999999997</v>
      </c>
    </row>
    <row r="126" spans="2:5" x14ac:dyDescent="0.25">
      <c r="B126" s="3" t="s">
        <v>5</v>
      </c>
      <c r="C126" s="507" t="s">
        <v>34</v>
      </c>
      <c r="D126" s="507"/>
      <c r="E126" s="66">
        <f>E65</f>
        <v>3599.18</v>
      </c>
    </row>
    <row r="127" spans="2:5" x14ac:dyDescent="0.25">
      <c r="B127" s="3" t="s">
        <v>7</v>
      </c>
      <c r="C127" s="507" t="s">
        <v>62</v>
      </c>
      <c r="D127" s="507"/>
      <c r="E127" s="66">
        <f>E74</f>
        <v>164.36</v>
      </c>
    </row>
    <row r="128" spans="2:5" x14ac:dyDescent="0.25">
      <c r="B128" s="3" t="s">
        <v>9</v>
      </c>
      <c r="C128" s="507" t="s">
        <v>70</v>
      </c>
      <c r="D128" s="507"/>
      <c r="E128" s="66">
        <f>E94</f>
        <v>78.860759599999966</v>
      </c>
    </row>
    <row r="129" spans="2:6" x14ac:dyDescent="0.25">
      <c r="B129" s="3" t="s">
        <v>29</v>
      </c>
      <c r="C129" s="507" t="s">
        <v>89</v>
      </c>
      <c r="D129" s="507"/>
      <c r="E129" s="66">
        <f>E102</f>
        <v>92.375793650793639</v>
      </c>
    </row>
    <row r="130" spans="2:6" x14ac:dyDescent="0.25">
      <c r="B130" s="6"/>
      <c r="C130" s="500" t="s">
        <v>114</v>
      </c>
      <c r="D130" s="500"/>
      <c r="E130" s="67">
        <f>SUM(E125:E129)</f>
        <v>7979.232553250793</v>
      </c>
    </row>
    <row r="131" spans="2:6" x14ac:dyDescent="0.25">
      <c r="B131" s="3" t="s">
        <v>31</v>
      </c>
      <c r="C131" s="507" t="s">
        <v>93</v>
      </c>
      <c r="D131" s="507"/>
      <c r="E131" s="66">
        <f>E112</f>
        <v>838.15000000000009</v>
      </c>
    </row>
    <row r="132" spans="2:6" ht="18.75" x14ac:dyDescent="0.25">
      <c r="B132" s="508" t="s">
        <v>115</v>
      </c>
      <c r="C132" s="508"/>
      <c r="D132" s="508"/>
      <c r="E132" s="71">
        <f>TRUNC(E130+E131,2)</f>
        <v>8817.3799999999992</v>
      </c>
      <c r="F132">
        <f>E132/E31</f>
        <v>2.1801151996708579</v>
      </c>
    </row>
    <row r="133" spans="2:6" x14ac:dyDescent="0.25">
      <c r="B133" s="31"/>
      <c r="C133" s="31"/>
      <c r="D133" s="31"/>
      <c r="E133" s="32">
        <f>'[2]Planilha de Custos'!$C$126</f>
        <v>8892.36</v>
      </c>
    </row>
    <row r="134" spans="2:6" x14ac:dyDescent="0.25">
      <c r="B134" s="31"/>
      <c r="C134" s="31"/>
      <c r="D134" s="31"/>
      <c r="E134" s="31"/>
    </row>
    <row r="135" spans="2:6" x14ac:dyDescent="0.25">
      <c r="B135" s="33"/>
      <c r="C135" s="34"/>
      <c r="D135" s="31"/>
      <c r="E135" s="31"/>
    </row>
    <row r="136" spans="2:6" x14ac:dyDescent="0.25">
      <c r="B136" s="35"/>
      <c r="C136" s="35"/>
    </row>
    <row r="137" spans="2:6" x14ac:dyDescent="0.25">
      <c r="B137" s="36"/>
      <c r="C137" s="31"/>
    </row>
    <row r="138" spans="2:6" x14ac:dyDescent="0.25">
      <c r="B138" s="36"/>
      <c r="C138" s="31"/>
    </row>
  </sheetData>
  <mergeCells count="71">
    <mergeCell ref="B132:D132"/>
    <mergeCell ref="C126:D126"/>
    <mergeCell ref="C127:D127"/>
    <mergeCell ref="C128:D128"/>
    <mergeCell ref="C129:D129"/>
    <mergeCell ref="C130:D130"/>
    <mergeCell ref="C131:D131"/>
    <mergeCell ref="C125:D125"/>
    <mergeCell ref="C93:D93"/>
    <mergeCell ref="B94:D94"/>
    <mergeCell ref="B95:E95"/>
    <mergeCell ref="B96:E96"/>
    <mergeCell ref="B102:C102"/>
    <mergeCell ref="B103:E103"/>
    <mergeCell ref="B104:E104"/>
    <mergeCell ref="B112:C112"/>
    <mergeCell ref="C113:E113"/>
    <mergeCell ref="B123:E123"/>
    <mergeCell ref="B124:D124"/>
    <mergeCell ref="C92:D92"/>
    <mergeCell ref="B89:E89"/>
    <mergeCell ref="B90:E90"/>
    <mergeCell ref="B74:C74"/>
    <mergeCell ref="B75:E75"/>
    <mergeCell ref="B76:E76"/>
    <mergeCell ref="B77:C77"/>
    <mergeCell ref="B84:C84"/>
    <mergeCell ref="B91:D91"/>
    <mergeCell ref="B85:E85"/>
    <mergeCell ref="B86:C86"/>
    <mergeCell ref="B88:C88"/>
    <mergeCell ref="B67:E67"/>
    <mergeCell ref="B49:E49"/>
    <mergeCell ref="B50:C50"/>
    <mergeCell ref="B58:D58"/>
    <mergeCell ref="B59:E59"/>
    <mergeCell ref="B60:E60"/>
    <mergeCell ref="B61:D61"/>
    <mergeCell ref="C62:D62"/>
    <mergeCell ref="C63:D63"/>
    <mergeCell ref="C64:D64"/>
    <mergeCell ref="B65:D65"/>
    <mergeCell ref="B66:E66"/>
    <mergeCell ref="B48:C48"/>
    <mergeCell ref="D19:E19"/>
    <mergeCell ref="D20:E20"/>
    <mergeCell ref="D21:E21"/>
    <mergeCell ref="B22:E22"/>
    <mergeCell ref="B23:E23"/>
    <mergeCell ref="B31:D31"/>
    <mergeCell ref="B33:E33"/>
    <mergeCell ref="B34:C34"/>
    <mergeCell ref="B37:C37"/>
    <mergeCell ref="B38:E38"/>
    <mergeCell ref="B39:C39"/>
    <mergeCell ref="B1:E1"/>
    <mergeCell ref="B2:E2"/>
    <mergeCell ref="B3:E3"/>
    <mergeCell ref="B4:E4"/>
    <mergeCell ref="D18:E18"/>
    <mergeCell ref="B5:E5"/>
    <mergeCell ref="B6:E6"/>
    <mergeCell ref="D7:E7"/>
    <mergeCell ref="D8:E8"/>
    <mergeCell ref="D9:E9"/>
    <mergeCell ref="D10:E10"/>
    <mergeCell ref="B12:E12"/>
    <mergeCell ref="D13:E13"/>
    <mergeCell ref="D14:E14"/>
    <mergeCell ref="B16:E16"/>
    <mergeCell ref="D17:E17"/>
  </mergeCells>
  <pageMargins left="0.511811024" right="0.511811024" top="0.78740157499999996" bottom="0.78740157499999996" header="0.31496062000000002" footer="0.31496062000000002"/>
  <pageSetup paperSize="9" scale="73"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A739D8-F352-4759-81F9-8D712F690526}">
  <sheetPr>
    <pageSetUpPr fitToPage="1"/>
  </sheetPr>
  <dimension ref="B1:F138"/>
  <sheetViews>
    <sheetView topLeftCell="A46" workbookViewId="0">
      <selection activeCell="D55" sqref="D55"/>
    </sheetView>
  </sheetViews>
  <sheetFormatPr defaultRowHeight="15" x14ac:dyDescent="0.25"/>
  <cols>
    <col min="2" max="2" width="17.85546875" customWidth="1"/>
    <col min="3" max="3" width="57.85546875" customWidth="1"/>
    <col min="4" max="4" width="9.42578125" bestFit="1" customWidth="1"/>
    <col min="5" max="5" width="31.42578125" customWidth="1"/>
    <col min="6" max="6" width="10.140625" bestFit="1" customWidth="1"/>
  </cols>
  <sheetData>
    <row r="1" spans="2:5" x14ac:dyDescent="0.25">
      <c r="B1" s="516" t="s">
        <v>0</v>
      </c>
      <c r="C1" s="516"/>
      <c r="D1" s="516"/>
      <c r="E1" s="516"/>
    </row>
    <row r="2" spans="2:5" x14ac:dyDescent="0.25">
      <c r="B2" s="518"/>
      <c r="C2" s="518"/>
      <c r="D2" s="518"/>
      <c r="E2" s="518"/>
    </row>
    <row r="3" spans="2:5" x14ac:dyDescent="0.25">
      <c r="B3" s="518" t="s">
        <v>1</v>
      </c>
      <c r="C3" s="518"/>
      <c r="D3" s="518"/>
      <c r="E3" s="518"/>
    </row>
    <row r="4" spans="2:5" x14ac:dyDescent="0.25">
      <c r="B4" s="517" t="s">
        <v>116</v>
      </c>
      <c r="C4" s="517"/>
      <c r="D4" s="517"/>
      <c r="E4" s="517"/>
    </row>
    <row r="5" spans="2:5" x14ac:dyDescent="0.25">
      <c r="B5" s="493"/>
      <c r="C5" s="493"/>
      <c r="D5" s="493"/>
      <c r="E5" s="493"/>
    </row>
    <row r="6" spans="2:5" x14ac:dyDescent="0.25">
      <c r="B6" s="494" t="s">
        <v>2</v>
      </c>
      <c r="C6" s="494"/>
      <c r="D6" s="494"/>
      <c r="E6" s="494"/>
    </row>
    <row r="7" spans="2:5" x14ac:dyDescent="0.25">
      <c r="B7" s="3" t="s">
        <v>3</v>
      </c>
      <c r="C7" s="4" t="s">
        <v>4</v>
      </c>
      <c r="D7" s="495"/>
      <c r="E7" s="496"/>
    </row>
    <row r="8" spans="2:5" x14ac:dyDescent="0.25">
      <c r="B8" s="3" t="s">
        <v>5</v>
      </c>
      <c r="C8" s="4" t="s">
        <v>6</v>
      </c>
      <c r="D8" s="496"/>
      <c r="E8" s="496"/>
    </row>
    <row r="9" spans="2:5" x14ac:dyDescent="0.25">
      <c r="B9" s="3" t="s">
        <v>7</v>
      </c>
      <c r="C9" s="4" t="s">
        <v>8</v>
      </c>
      <c r="D9" s="497"/>
      <c r="E9" s="496"/>
    </row>
    <row r="10" spans="2:5" x14ac:dyDescent="0.25">
      <c r="B10" s="3" t="s">
        <v>9</v>
      </c>
      <c r="C10" s="4" t="s">
        <v>10</v>
      </c>
      <c r="D10" s="496"/>
      <c r="E10" s="496"/>
    </row>
    <row r="11" spans="2:5" x14ac:dyDescent="0.25">
      <c r="B11" s="2"/>
      <c r="C11" s="5"/>
      <c r="D11" s="2"/>
      <c r="E11" s="2"/>
    </row>
    <row r="12" spans="2:5" x14ac:dyDescent="0.25">
      <c r="B12" s="494" t="s">
        <v>11</v>
      </c>
      <c r="C12" s="494"/>
      <c r="D12" s="494"/>
      <c r="E12" s="494"/>
    </row>
    <row r="13" spans="2:5" x14ac:dyDescent="0.25">
      <c r="B13" s="60" t="s">
        <v>12</v>
      </c>
      <c r="C13" s="3" t="s">
        <v>13</v>
      </c>
      <c r="D13" s="496" t="s">
        <v>171</v>
      </c>
      <c r="E13" s="496"/>
    </row>
    <row r="14" spans="2:5" ht="31.5" customHeight="1" x14ac:dyDescent="0.25">
      <c r="B14" s="65" t="s">
        <v>117</v>
      </c>
      <c r="C14" s="3" t="s">
        <v>14</v>
      </c>
      <c r="D14" s="496"/>
      <c r="E14" s="496"/>
    </row>
    <row r="15" spans="2:5" x14ac:dyDescent="0.25">
      <c r="B15" s="2"/>
      <c r="C15" s="5"/>
      <c r="D15" s="2"/>
      <c r="E15" s="2"/>
    </row>
    <row r="16" spans="2:5" x14ac:dyDescent="0.25">
      <c r="B16" s="494" t="s">
        <v>15</v>
      </c>
      <c r="C16" s="494"/>
      <c r="D16" s="494"/>
      <c r="E16" s="494"/>
    </row>
    <row r="17" spans="2:5" x14ac:dyDescent="0.25">
      <c r="B17" s="3">
        <v>1</v>
      </c>
      <c r="C17" s="4" t="s">
        <v>16</v>
      </c>
      <c r="D17" s="496"/>
      <c r="E17" s="496"/>
    </row>
    <row r="18" spans="2:5" x14ac:dyDescent="0.25">
      <c r="B18" s="3">
        <v>2</v>
      </c>
      <c r="C18" s="4" t="s">
        <v>17</v>
      </c>
      <c r="D18" s="496"/>
      <c r="E18" s="496"/>
    </row>
    <row r="19" spans="2:5" x14ac:dyDescent="0.25">
      <c r="B19" s="3">
        <v>3</v>
      </c>
      <c r="C19" s="4" t="s">
        <v>18</v>
      </c>
      <c r="D19" s="498"/>
      <c r="E19" s="496"/>
    </row>
    <row r="20" spans="2:5" x14ac:dyDescent="0.25">
      <c r="B20" s="3">
        <v>4</v>
      </c>
      <c r="C20" s="4" t="s">
        <v>19</v>
      </c>
      <c r="D20" s="496"/>
      <c r="E20" s="496"/>
    </row>
    <row r="21" spans="2:5" x14ac:dyDescent="0.25">
      <c r="B21" s="3">
        <v>5</v>
      </c>
      <c r="C21" s="4" t="s">
        <v>20</v>
      </c>
      <c r="D21" s="495"/>
      <c r="E21" s="496"/>
    </row>
    <row r="22" spans="2:5" x14ac:dyDescent="0.25">
      <c r="B22" s="503"/>
      <c r="C22" s="503"/>
      <c r="D22" s="503"/>
      <c r="E22" s="503"/>
    </row>
    <row r="23" spans="2:5" x14ac:dyDescent="0.25">
      <c r="B23" s="504" t="s">
        <v>21</v>
      </c>
      <c r="C23" s="504"/>
      <c r="D23" s="504"/>
      <c r="E23" s="504"/>
    </row>
    <row r="24" spans="2:5" x14ac:dyDescent="0.25">
      <c r="B24" s="6">
        <v>1</v>
      </c>
      <c r="C24" s="6" t="s">
        <v>22</v>
      </c>
      <c r="D24" s="6" t="s">
        <v>23</v>
      </c>
      <c r="E24" s="6" t="s">
        <v>24</v>
      </c>
    </row>
    <row r="25" spans="2:5" x14ac:dyDescent="0.25">
      <c r="B25" s="6" t="s">
        <v>3</v>
      </c>
      <c r="C25" s="4" t="s">
        <v>25</v>
      </c>
      <c r="D25" s="7"/>
      <c r="E25" s="66">
        <f>'Vigilante 5x2'!E25</f>
        <v>2593.73</v>
      </c>
    </row>
    <row r="26" spans="2:5" x14ac:dyDescent="0.25">
      <c r="B26" s="6" t="s">
        <v>5</v>
      </c>
      <c r="C26" s="4" t="s">
        <v>26</v>
      </c>
      <c r="D26" s="8"/>
      <c r="E26" s="66">
        <f>E25*30%</f>
        <v>778.11900000000003</v>
      </c>
    </row>
    <row r="27" spans="2:5" x14ac:dyDescent="0.25">
      <c r="B27" s="6" t="s">
        <v>7</v>
      </c>
      <c r="C27" s="4" t="s">
        <v>27</v>
      </c>
      <c r="D27" s="8"/>
      <c r="E27" s="66">
        <v>0</v>
      </c>
    </row>
    <row r="28" spans="2:5" x14ac:dyDescent="0.25">
      <c r="B28" s="6" t="s">
        <v>9</v>
      </c>
      <c r="C28" s="4" t="s">
        <v>28</v>
      </c>
      <c r="D28" s="8"/>
      <c r="E28" s="66">
        <v>0</v>
      </c>
    </row>
    <row r="29" spans="2:5" x14ac:dyDescent="0.25">
      <c r="B29" s="6" t="s">
        <v>29</v>
      </c>
      <c r="C29" s="4" t="s">
        <v>30</v>
      </c>
      <c r="D29" s="9"/>
      <c r="E29" s="66">
        <v>0</v>
      </c>
    </row>
    <row r="30" spans="2:5" x14ac:dyDescent="0.25">
      <c r="B30" s="6" t="s">
        <v>31</v>
      </c>
      <c r="C30" s="4" t="s">
        <v>32</v>
      </c>
      <c r="D30" s="8"/>
      <c r="E30" s="66">
        <v>0</v>
      </c>
    </row>
    <row r="31" spans="2:5" x14ac:dyDescent="0.25">
      <c r="B31" s="500" t="s">
        <v>33</v>
      </c>
      <c r="C31" s="500"/>
      <c r="D31" s="500"/>
      <c r="E31" s="67">
        <f>SUM(E25:E30)</f>
        <v>3371.8490000000002</v>
      </c>
    </row>
    <row r="32" spans="2:5" x14ac:dyDescent="0.25">
      <c r="B32" s="1"/>
      <c r="C32" s="1"/>
      <c r="D32" s="1"/>
      <c r="E32" s="10"/>
    </row>
    <row r="33" spans="2:5" x14ac:dyDescent="0.25">
      <c r="B33" s="504" t="s">
        <v>34</v>
      </c>
      <c r="C33" s="504"/>
      <c r="D33" s="504"/>
      <c r="E33" s="504"/>
    </row>
    <row r="34" spans="2:5" x14ac:dyDescent="0.25">
      <c r="B34" s="499" t="s">
        <v>35</v>
      </c>
      <c r="C34" s="499"/>
      <c r="D34" s="11" t="s">
        <v>23</v>
      </c>
      <c r="E34" s="11" t="s">
        <v>24</v>
      </c>
    </row>
    <row r="35" spans="2:5" x14ac:dyDescent="0.25">
      <c r="B35" s="6" t="s">
        <v>3</v>
      </c>
      <c r="C35" s="4" t="s">
        <v>119</v>
      </c>
      <c r="D35" s="12">
        <f>'Supervisor 5x2'!D35</f>
        <v>8.3299999999999999E-2</v>
      </c>
      <c r="E35" s="66">
        <f>TRUNC($E$31*D35,2)</f>
        <v>280.87</v>
      </c>
    </row>
    <row r="36" spans="2:5" x14ac:dyDescent="0.25">
      <c r="B36" s="6" t="s">
        <v>5</v>
      </c>
      <c r="C36" s="4" t="s">
        <v>120</v>
      </c>
      <c r="D36" s="13">
        <f>'Supervisor 5x2'!D36</f>
        <v>0.121</v>
      </c>
      <c r="E36" s="66">
        <f>TRUNC($E$31*D36,2)</f>
        <v>407.99</v>
      </c>
    </row>
    <row r="37" spans="2:5" x14ac:dyDescent="0.25">
      <c r="B37" s="500" t="s">
        <v>36</v>
      </c>
      <c r="C37" s="500"/>
      <c r="D37" s="14">
        <f>SUM(D35:D36)</f>
        <v>0.20429999999999998</v>
      </c>
      <c r="E37" s="67">
        <f>SUM(E35:E36)</f>
        <v>688.86</v>
      </c>
    </row>
    <row r="38" spans="2:5" x14ac:dyDescent="0.25">
      <c r="B38" s="501"/>
      <c r="C38" s="502"/>
      <c r="D38" s="502"/>
      <c r="E38" s="502"/>
    </row>
    <row r="39" spans="2:5" x14ac:dyDescent="0.25">
      <c r="B39" s="499" t="s">
        <v>37</v>
      </c>
      <c r="C39" s="499"/>
      <c r="D39" s="11" t="s">
        <v>23</v>
      </c>
      <c r="E39" s="11" t="s">
        <v>24</v>
      </c>
    </row>
    <row r="40" spans="2:5" x14ac:dyDescent="0.25">
      <c r="B40" s="6" t="s">
        <v>3</v>
      </c>
      <c r="C40" s="4" t="s">
        <v>38</v>
      </c>
      <c r="D40" s="12">
        <f>'Supervisor 5x2'!D40</f>
        <v>0.2</v>
      </c>
      <c r="E40" s="66">
        <f>TRUNC(($E$31+$E$37)*$D$40,2)</f>
        <v>812.14</v>
      </c>
    </row>
    <row r="41" spans="2:5" x14ac:dyDescent="0.25">
      <c r="B41" s="6" t="s">
        <v>5</v>
      </c>
      <c r="C41" s="4" t="s">
        <v>39</v>
      </c>
      <c r="D41" s="12">
        <f>'Supervisor 5x2'!D41</f>
        <v>2.5000000000000001E-2</v>
      </c>
      <c r="E41" s="66">
        <f>TRUNC(($E$31+$E$37)*$D$41,2)</f>
        <v>101.51</v>
      </c>
    </row>
    <row r="42" spans="2:5" x14ac:dyDescent="0.25">
      <c r="B42" s="6" t="s">
        <v>7</v>
      </c>
      <c r="C42" s="4" t="s">
        <v>40</v>
      </c>
      <c r="D42" s="12">
        <f>'Supervisor 5x2'!D42</f>
        <v>1.4999999999999999E-2</v>
      </c>
      <c r="E42" s="66">
        <f>TRUNC(($E$31+$E$37)*$D$42,2)</f>
        <v>60.91</v>
      </c>
    </row>
    <row r="43" spans="2:5" x14ac:dyDescent="0.25">
      <c r="B43" s="6" t="s">
        <v>9</v>
      </c>
      <c r="C43" s="4" t="s">
        <v>41</v>
      </c>
      <c r="D43" s="12">
        <f>'Supervisor 5x2'!D43</f>
        <v>1.4999999999999999E-2</v>
      </c>
      <c r="E43" s="66">
        <f>TRUNC(($E$31+$E$37)*$D$43,2)</f>
        <v>60.91</v>
      </c>
    </row>
    <row r="44" spans="2:5" x14ac:dyDescent="0.25">
      <c r="B44" s="6" t="s">
        <v>29</v>
      </c>
      <c r="C44" s="4" t="s">
        <v>42</v>
      </c>
      <c r="D44" s="12">
        <f>'Supervisor 5x2'!D44</f>
        <v>0.01</v>
      </c>
      <c r="E44" s="66">
        <f>TRUNC(($E$31+$E$37)*$D$44,2)</f>
        <v>40.6</v>
      </c>
    </row>
    <row r="45" spans="2:5" x14ac:dyDescent="0.25">
      <c r="B45" s="6" t="s">
        <v>31</v>
      </c>
      <c r="C45" s="4" t="s">
        <v>43</v>
      </c>
      <c r="D45" s="12">
        <f>'Supervisor 5x2'!D45</f>
        <v>6.0000000000000001E-3</v>
      </c>
      <c r="E45" s="66">
        <f>TRUNC(($E$31+$E$37)*$D$45,2)</f>
        <v>24.36</v>
      </c>
    </row>
    <row r="46" spans="2:5" x14ac:dyDescent="0.25">
      <c r="B46" s="6" t="s">
        <v>44</v>
      </c>
      <c r="C46" s="4" t="s">
        <v>45</v>
      </c>
      <c r="D46" s="12">
        <f>'Supervisor 5x2'!D46</f>
        <v>2E-3</v>
      </c>
      <c r="E46" s="66">
        <f>TRUNC(($E$31+$E$37)*$D$46,2)</f>
        <v>8.1199999999999992</v>
      </c>
    </row>
    <row r="47" spans="2:5" x14ac:dyDescent="0.25">
      <c r="B47" s="6" t="s">
        <v>46</v>
      </c>
      <c r="C47" s="4" t="s">
        <v>47</v>
      </c>
      <c r="D47" s="12">
        <f>'Supervisor 5x2'!D47</f>
        <v>0.08</v>
      </c>
      <c r="E47" s="66">
        <f>TRUNC(($E$31+$E$37)*$D$47,2)</f>
        <v>324.85000000000002</v>
      </c>
    </row>
    <row r="48" spans="2:5" x14ac:dyDescent="0.25">
      <c r="B48" s="500" t="s">
        <v>48</v>
      </c>
      <c r="C48" s="500"/>
      <c r="D48" s="14">
        <f>SUM(D40:D47)</f>
        <v>0.35300000000000004</v>
      </c>
      <c r="E48" s="67">
        <f>SUM(E40:E47)</f>
        <v>1433.3999999999996</v>
      </c>
    </row>
    <row r="49" spans="2:6" x14ac:dyDescent="0.25">
      <c r="B49" s="519"/>
      <c r="C49" s="519"/>
      <c r="D49" s="519"/>
      <c r="E49" s="520"/>
    </row>
    <row r="50" spans="2:6" x14ac:dyDescent="0.25">
      <c r="B50" s="499" t="s">
        <v>49</v>
      </c>
      <c r="C50" s="499"/>
      <c r="D50" s="16"/>
      <c r="E50" s="11" t="s">
        <v>24</v>
      </c>
    </row>
    <row r="51" spans="2:6" x14ac:dyDescent="0.25">
      <c r="B51" s="6" t="s">
        <v>3</v>
      </c>
      <c r="C51" s="7" t="s">
        <v>121</v>
      </c>
      <c r="D51" s="18">
        <f>'Supervisor 5x2'!D51</f>
        <v>11</v>
      </c>
      <c r="E51" s="69">
        <f>TRUNC((5.5*2*15)-(6%*E25),2)</f>
        <v>9.3699999999999992</v>
      </c>
    </row>
    <row r="52" spans="2:6" x14ac:dyDescent="0.25">
      <c r="B52" s="6" t="s">
        <v>5</v>
      </c>
      <c r="C52" s="7" t="s">
        <v>125</v>
      </c>
      <c r="D52" s="18">
        <f>'Supervisor 5x2'!D52</f>
        <v>44.216999999999999</v>
      </c>
      <c r="E52" s="69">
        <f>TRUNC(D52*15,2)</f>
        <v>663.25</v>
      </c>
      <c r="F52" s="38"/>
    </row>
    <row r="53" spans="2:6" x14ac:dyDescent="0.25">
      <c r="B53" s="6" t="s">
        <v>7</v>
      </c>
      <c r="C53" s="37" t="s">
        <v>122</v>
      </c>
      <c r="D53" s="3" t="s">
        <v>50</v>
      </c>
      <c r="E53" s="69" t="s">
        <v>50</v>
      </c>
    </row>
    <row r="54" spans="2:6" x14ac:dyDescent="0.25">
      <c r="B54" s="6" t="s">
        <v>9</v>
      </c>
      <c r="C54" s="7" t="s">
        <v>51</v>
      </c>
      <c r="D54" s="18">
        <f>'Vigilante 5x2'!D54</f>
        <v>21.24</v>
      </c>
      <c r="E54" s="69">
        <f>D54</f>
        <v>21.24</v>
      </c>
    </row>
    <row r="55" spans="2:6" x14ac:dyDescent="0.25">
      <c r="B55" s="6" t="s">
        <v>29</v>
      </c>
      <c r="C55" s="37" t="s">
        <v>123</v>
      </c>
      <c r="D55" s="3" t="s">
        <v>50</v>
      </c>
      <c r="E55" s="69" t="s">
        <v>50</v>
      </c>
    </row>
    <row r="56" spans="2:6" x14ac:dyDescent="0.25">
      <c r="B56" s="6" t="s">
        <v>31</v>
      </c>
      <c r="C56" s="37" t="s">
        <v>124</v>
      </c>
      <c r="D56" s="3"/>
      <c r="E56" s="69">
        <v>0</v>
      </c>
    </row>
    <row r="57" spans="2:6" x14ac:dyDescent="0.25">
      <c r="B57" s="6" t="s">
        <v>44</v>
      </c>
      <c r="C57" s="7" t="s">
        <v>32</v>
      </c>
      <c r="D57" s="3" t="s">
        <v>50</v>
      </c>
      <c r="E57" s="69" t="s">
        <v>50</v>
      </c>
    </row>
    <row r="58" spans="2:6" x14ac:dyDescent="0.25">
      <c r="B58" s="500" t="s">
        <v>52</v>
      </c>
      <c r="C58" s="500"/>
      <c r="D58" s="500"/>
      <c r="E58" s="67">
        <f>SUM(E51:E57)</f>
        <v>693.86</v>
      </c>
    </row>
    <row r="59" spans="2:6" x14ac:dyDescent="0.25">
      <c r="B59" s="519"/>
      <c r="C59" s="519"/>
      <c r="D59" s="519"/>
      <c r="E59" s="520"/>
    </row>
    <row r="60" spans="2:6" x14ac:dyDescent="0.25">
      <c r="B60" s="494" t="s">
        <v>53</v>
      </c>
      <c r="C60" s="494"/>
      <c r="D60" s="494"/>
      <c r="E60" s="494"/>
    </row>
    <row r="61" spans="2:6" x14ac:dyDescent="0.25">
      <c r="B61" s="500" t="s">
        <v>54</v>
      </c>
      <c r="C61" s="500"/>
      <c r="D61" s="500"/>
      <c r="E61" s="6" t="s">
        <v>24</v>
      </c>
    </row>
    <row r="62" spans="2:6" x14ac:dyDescent="0.25">
      <c r="B62" s="6" t="s">
        <v>55</v>
      </c>
      <c r="C62" s="507" t="s">
        <v>56</v>
      </c>
      <c r="D62" s="507"/>
      <c r="E62" s="66">
        <f>E37</f>
        <v>688.86</v>
      </c>
    </row>
    <row r="63" spans="2:6" x14ac:dyDescent="0.25">
      <c r="B63" s="6" t="s">
        <v>57</v>
      </c>
      <c r="C63" s="507" t="s">
        <v>58</v>
      </c>
      <c r="D63" s="507"/>
      <c r="E63" s="66">
        <f>E48</f>
        <v>1433.3999999999996</v>
      </c>
    </row>
    <row r="64" spans="2:6" x14ac:dyDescent="0.25">
      <c r="B64" s="6" t="s">
        <v>59</v>
      </c>
      <c r="C64" s="507" t="s">
        <v>60</v>
      </c>
      <c r="D64" s="507"/>
      <c r="E64" s="66">
        <f>E58</f>
        <v>693.86</v>
      </c>
    </row>
    <row r="65" spans="2:5" x14ac:dyDescent="0.25">
      <c r="B65" s="500" t="s">
        <v>61</v>
      </c>
      <c r="C65" s="500"/>
      <c r="D65" s="500"/>
      <c r="E65" s="67">
        <f>SUM(E62:E64)</f>
        <v>2816.12</v>
      </c>
    </row>
    <row r="66" spans="2:5" x14ac:dyDescent="0.25">
      <c r="B66" s="509"/>
      <c r="C66" s="510"/>
      <c r="D66" s="510"/>
      <c r="E66" s="510"/>
    </row>
    <row r="67" spans="2:5" x14ac:dyDescent="0.25">
      <c r="B67" s="504" t="s">
        <v>62</v>
      </c>
      <c r="C67" s="504"/>
      <c r="D67" s="504"/>
      <c r="E67" s="504"/>
    </row>
    <row r="68" spans="2:5" x14ac:dyDescent="0.25">
      <c r="B68" s="6">
        <v>3</v>
      </c>
      <c r="C68" s="6" t="s">
        <v>63</v>
      </c>
      <c r="D68" s="6" t="s">
        <v>23</v>
      </c>
      <c r="E68" s="6" t="s">
        <v>24</v>
      </c>
    </row>
    <row r="69" spans="2:5" x14ac:dyDescent="0.25">
      <c r="B69" s="6" t="s">
        <v>3</v>
      </c>
      <c r="C69" s="4" t="s">
        <v>64</v>
      </c>
      <c r="D69" s="12">
        <f>'Supervisor 5x2'!D69</f>
        <v>4.0000000000000002E-4</v>
      </c>
      <c r="E69" s="66">
        <f>TRUNC(D69*$E$31,2)</f>
        <v>1.34</v>
      </c>
    </row>
    <row r="70" spans="2:5" x14ac:dyDescent="0.25">
      <c r="B70" s="6" t="s">
        <v>5</v>
      </c>
      <c r="C70" s="4" t="s">
        <v>65</v>
      </c>
      <c r="D70" s="12">
        <f>'Supervisor 5x2'!D70</f>
        <v>3.2000000000000005E-5</v>
      </c>
      <c r="E70" s="66">
        <f>TRUNC(D70*$E$31,2)</f>
        <v>0.1</v>
      </c>
    </row>
    <row r="71" spans="2:5" x14ac:dyDescent="0.25">
      <c r="B71" s="6" t="s">
        <v>7</v>
      </c>
      <c r="C71" s="4" t="s">
        <v>66</v>
      </c>
      <c r="D71" s="12">
        <f>'Supervisor 5x2'!D71</f>
        <v>2.0000000000000001E-4</v>
      </c>
      <c r="E71" s="66">
        <f t="shared" ref="E71:E72" si="0">TRUNC(D71*$E$31,2)</f>
        <v>0.67</v>
      </c>
    </row>
    <row r="72" spans="2:5" x14ac:dyDescent="0.25">
      <c r="B72" s="6" t="s">
        <v>9</v>
      </c>
      <c r="C72" s="4" t="s">
        <v>67</v>
      </c>
      <c r="D72" s="155">
        <f>'Supervisor 5x2'!D72</f>
        <v>1.6000000000000003E-5</v>
      </c>
      <c r="E72" s="66">
        <f t="shared" si="0"/>
        <v>0.05</v>
      </c>
    </row>
    <row r="73" spans="2:5" ht="25.5" customHeight="1" x14ac:dyDescent="0.25">
      <c r="B73" s="6" t="s">
        <v>29</v>
      </c>
      <c r="C73" s="61" t="s">
        <v>68</v>
      </c>
      <c r="D73" s="12">
        <f>'Supervisor 5x2'!D73</f>
        <v>0.04</v>
      </c>
      <c r="E73" s="66">
        <f>TRUNC(D73*$E$31,2)</f>
        <v>134.87</v>
      </c>
    </row>
    <row r="74" spans="2:5" x14ac:dyDescent="0.25">
      <c r="B74" s="500" t="s">
        <v>69</v>
      </c>
      <c r="C74" s="500"/>
      <c r="D74" s="14">
        <f>SUM(D69:D73)</f>
        <v>4.0648000000000004E-2</v>
      </c>
      <c r="E74" s="67">
        <f>SUM(E69:E73)</f>
        <v>137.03</v>
      </c>
    </row>
    <row r="75" spans="2:5" x14ac:dyDescent="0.25">
      <c r="B75" s="514"/>
      <c r="C75" s="515"/>
      <c r="D75" s="515"/>
      <c r="E75" s="515"/>
    </row>
    <row r="76" spans="2:5" x14ac:dyDescent="0.25">
      <c r="B76" s="504" t="s">
        <v>70</v>
      </c>
      <c r="C76" s="504"/>
      <c r="D76" s="504"/>
      <c r="E76" s="504"/>
    </row>
    <row r="77" spans="2:5" x14ac:dyDescent="0.25">
      <c r="B77" s="500" t="s">
        <v>71</v>
      </c>
      <c r="C77" s="500"/>
      <c r="D77" s="6" t="s">
        <v>23</v>
      </c>
      <c r="E77" s="6" t="s">
        <v>24</v>
      </c>
    </row>
    <row r="78" spans="2:5" ht="15" customHeight="1" x14ac:dyDescent="0.25">
      <c r="B78" s="6" t="s">
        <v>3</v>
      </c>
      <c r="C78" s="4" t="s">
        <v>72</v>
      </c>
      <c r="D78" s="12">
        <f>'Supervisor 5x2'!D78</f>
        <v>9.7000000000000003E-3</v>
      </c>
      <c r="E78" s="66">
        <f>(E$125+E$126+E$127)*D78</f>
        <v>61.352490299999999</v>
      </c>
    </row>
    <row r="79" spans="2:5" x14ac:dyDescent="0.25">
      <c r="B79" s="6" t="s">
        <v>5</v>
      </c>
      <c r="C79" s="4" t="s">
        <v>73</v>
      </c>
      <c r="D79" s="12">
        <f>'Supervisor 5x2'!D79</f>
        <v>1E-4</v>
      </c>
      <c r="E79" s="66">
        <f>(E$125+E$126+E$127)*D79</f>
        <v>0.6324999</v>
      </c>
    </row>
    <row r="80" spans="2:5" x14ac:dyDescent="0.25">
      <c r="B80" s="6" t="s">
        <v>7</v>
      </c>
      <c r="C80" s="4" t="s">
        <v>74</v>
      </c>
      <c r="D80" s="12">
        <f>'Supervisor 5x2'!D80</f>
        <v>1E-4</v>
      </c>
      <c r="E80" s="66">
        <f>(E$125+E$126+E$127)*D80</f>
        <v>0.6324999</v>
      </c>
    </row>
    <row r="81" spans="2:5" x14ac:dyDescent="0.25">
      <c r="B81" s="6" t="s">
        <v>9</v>
      </c>
      <c r="C81" s="4" t="s">
        <v>75</v>
      </c>
      <c r="D81" s="12">
        <f>'Supervisor 5x2'!D81</f>
        <v>1E-4</v>
      </c>
      <c r="E81" s="66">
        <f>(E$125+E$126+E$127)*D81</f>
        <v>0.6324999</v>
      </c>
    </row>
    <row r="82" spans="2:5" x14ac:dyDescent="0.25">
      <c r="B82" s="6" t="s">
        <v>29</v>
      </c>
      <c r="C82" s="4" t="s">
        <v>76</v>
      </c>
      <c r="D82" s="12">
        <f>'Supervisor 5x2'!D82</f>
        <v>1E-4</v>
      </c>
      <c r="E82" s="66">
        <f>(E$125+E$126+E$127)*D82</f>
        <v>0.6324999</v>
      </c>
    </row>
    <row r="83" spans="2:5" x14ac:dyDescent="0.25">
      <c r="B83" s="6" t="s">
        <v>31</v>
      </c>
      <c r="C83" s="4" t="s">
        <v>77</v>
      </c>
      <c r="D83" s="12"/>
      <c r="E83" s="66">
        <f t="shared" ref="E83" si="1">TRUNC(($E$31)*D83,2)</f>
        <v>0</v>
      </c>
    </row>
    <row r="84" spans="2:5" x14ac:dyDescent="0.25">
      <c r="B84" s="500" t="s">
        <v>78</v>
      </c>
      <c r="C84" s="500"/>
      <c r="D84" s="14">
        <f>SUM(D78:D83)</f>
        <v>1.0099999999999998E-2</v>
      </c>
      <c r="E84" s="67">
        <f>SUM(E78:E83)</f>
        <v>63.882489899999996</v>
      </c>
    </row>
    <row r="85" spans="2:5" x14ac:dyDescent="0.25">
      <c r="B85" s="505"/>
      <c r="C85" s="506"/>
      <c r="D85" s="506"/>
      <c r="E85" s="506"/>
    </row>
    <row r="86" spans="2:5" x14ac:dyDescent="0.25">
      <c r="B86" s="500" t="s">
        <v>79</v>
      </c>
      <c r="C86" s="500"/>
      <c r="D86" s="6" t="s">
        <v>23</v>
      </c>
      <c r="E86" s="6" t="s">
        <v>24</v>
      </c>
    </row>
    <row r="87" spans="2:5" x14ac:dyDescent="0.25">
      <c r="B87" s="6" t="s">
        <v>3</v>
      </c>
      <c r="C87" s="61" t="s">
        <v>80</v>
      </c>
      <c r="D87" s="12">
        <v>0</v>
      </c>
      <c r="E87" s="66">
        <v>0</v>
      </c>
    </row>
    <row r="88" spans="2:5" x14ac:dyDescent="0.25">
      <c r="B88" s="500" t="s">
        <v>81</v>
      </c>
      <c r="C88" s="500"/>
      <c r="D88" s="14">
        <v>0</v>
      </c>
      <c r="E88" s="67">
        <v>0</v>
      </c>
    </row>
    <row r="89" spans="2:5" x14ac:dyDescent="0.25">
      <c r="B89" s="511"/>
      <c r="C89" s="512"/>
      <c r="D89" s="512"/>
      <c r="E89" s="512"/>
    </row>
    <row r="90" spans="2:5" x14ac:dyDescent="0.25">
      <c r="B90" s="494" t="s">
        <v>82</v>
      </c>
      <c r="C90" s="494"/>
      <c r="D90" s="494"/>
      <c r="E90" s="494"/>
    </row>
    <row r="91" spans="2:5" x14ac:dyDescent="0.25">
      <c r="B91" s="500" t="s">
        <v>83</v>
      </c>
      <c r="C91" s="500"/>
      <c r="D91" s="500"/>
      <c r="E91" s="6" t="s">
        <v>24</v>
      </c>
    </row>
    <row r="92" spans="2:5" x14ac:dyDescent="0.25">
      <c r="B92" s="6" t="s">
        <v>84</v>
      </c>
      <c r="C92" s="507" t="s">
        <v>85</v>
      </c>
      <c r="D92" s="507"/>
      <c r="E92" s="66">
        <f>E84</f>
        <v>63.882489899999996</v>
      </c>
    </row>
    <row r="93" spans="2:5" x14ac:dyDescent="0.25">
      <c r="B93" s="6" t="s">
        <v>86</v>
      </c>
      <c r="C93" s="507" t="s">
        <v>87</v>
      </c>
      <c r="D93" s="507"/>
      <c r="E93" s="66">
        <f>E88</f>
        <v>0</v>
      </c>
    </row>
    <row r="94" spans="2:5" x14ac:dyDescent="0.25">
      <c r="B94" s="500" t="s">
        <v>88</v>
      </c>
      <c r="C94" s="500"/>
      <c r="D94" s="500"/>
      <c r="E94" s="67">
        <f>SUM(E92:E93)</f>
        <v>63.882489899999996</v>
      </c>
    </row>
    <row r="95" spans="2:5" x14ac:dyDescent="0.25">
      <c r="B95" s="509"/>
      <c r="C95" s="510"/>
      <c r="D95" s="510"/>
      <c r="E95" s="510"/>
    </row>
    <row r="96" spans="2:5" x14ac:dyDescent="0.25">
      <c r="B96" s="504" t="s">
        <v>89</v>
      </c>
      <c r="C96" s="504"/>
      <c r="D96" s="504"/>
      <c r="E96" s="504"/>
    </row>
    <row r="97" spans="2:5" x14ac:dyDescent="0.25">
      <c r="B97" s="6">
        <v>5</v>
      </c>
      <c r="C97" s="6" t="s">
        <v>90</v>
      </c>
      <c r="D97" s="6"/>
      <c r="E97" s="6" t="s">
        <v>24</v>
      </c>
    </row>
    <row r="98" spans="2:5" x14ac:dyDescent="0.25">
      <c r="B98" s="6" t="s">
        <v>3</v>
      </c>
      <c r="C98" s="7" t="s">
        <v>91</v>
      </c>
      <c r="D98" s="12"/>
      <c r="E98" s="66">
        <f>Uniforme!G15</f>
        <v>52.500000000000007</v>
      </c>
    </row>
    <row r="99" spans="2:5" x14ac:dyDescent="0.25">
      <c r="B99" s="6" t="s">
        <v>5</v>
      </c>
      <c r="C99" s="59" t="s">
        <v>169</v>
      </c>
      <c r="D99" s="12"/>
      <c r="E99" s="66">
        <f>Materiais!F22</f>
        <v>13.00079365079365</v>
      </c>
    </row>
    <row r="100" spans="2:5" x14ac:dyDescent="0.25">
      <c r="B100" s="15" t="s">
        <v>7</v>
      </c>
      <c r="C100" s="59" t="s">
        <v>170</v>
      </c>
      <c r="D100" s="3"/>
      <c r="E100" s="66">
        <f>Equipamentos!G12</f>
        <v>7.0185185185185182</v>
      </c>
    </row>
    <row r="101" spans="2:5" x14ac:dyDescent="0.25">
      <c r="B101" s="15" t="s">
        <v>9</v>
      </c>
      <c r="C101" s="59" t="s">
        <v>32</v>
      </c>
      <c r="D101" s="3"/>
      <c r="E101" s="66"/>
    </row>
    <row r="102" spans="2:5" x14ac:dyDescent="0.25">
      <c r="B102" s="500" t="s">
        <v>92</v>
      </c>
      <c r="C102" s="500"/>
      <c r="D102" s="14"/>
      <c r="E102" s="67">
        <f>SUM(E98:E101)</f>
        <v>72.519312169312173</v>
      </c>
    </row>
    <row r="103" spans="2:5" x14ac:dyDescent="0.25">
      <c r="B103" s="509"/>
      <c r="C103" s="510"/>
      <c r="D103" s="510"/>
      <c r="E103" s="510"/>
    </row>
    <row r="104" spans="2:5" x14ac:dyDescent="0.25">
      <c r="B104" s="504" t="s">
        <v>93</v>
      </c>
      <c r="C104" s="504"/>
      <c r="D104" s="504"/>
      <c r="E104" s="504"/>
    </row>
    <row r="105" spans="2:5" x14ac:dyDescent="0.25">
      <c r="B105" s="6">
        <v>6</v>
      </c>
      <c r="C105" s="6" t="s">
        <v>94</v>
      </c>
      <c r="D105" s="6" t="s">
        <v>23</v>
      </c>
      <c r="E105" s="6" t="s">
        <v>24</v>
      </c>
    </row>
    <row r="106" spans="2:5" x14ac:dyDescent="0.25">
      <c r="B106" s="6" t="s">
        <v>3</v>
      </c>
      <c r="C106" s="4" t="s">
        <v>95</v>
      </c>
      <c r="D106" s="17">
        <f>'Supervisor 5x2'!D106</f>
        <v>5.0000000000000001E-3</v>
      </c>
      <c r="E106" s="66">
        <f>TRUNC(((E130)*D106),2)</f>
        <v>32.299999999999997</v>
      </c>
    </row>
    <row r="107" spans="2:5" x14ac:dyDescent="0.25">
      <c r="B107" s="6" t="s">
        <v>5</v>
      </c>
      <c r="C107" s="4" t="s">
        <v>96</v>
      </c>
      <c r="D107" s="17">
        <f>'Supervisor 5x2'!D107</f>
        <v>4.4365999999999997E-3</v>
      </c>
      <c r="E107" s="66">
        <f>TRUNC(((E130+E106)*D107),2)</f>
        <v>28.8</v>
      </c>
    </row>
    <row r="108" spans="2:5" x14ac:dyDescent="0.25">
      <c r="B108" s="6" t="s">
        <v>7</v>
      </c>
      <c r="C108" s="62" t="s">
        <v>97</v>
      </c>
      <c r="D108" s="8"/>
      <c r="E108" s="18"/>
    </row>
    <row r="109" spans="2:5" x14ac:dyDescent="0.25">
      <c r="B109" s="6" t="s">
        <v>98</v>
      </c>
      <c r="C109" s="4" t="s">
        <v>99</v>
      </c>
      <c r="D109" s="19">
        <f>'Supervisor 5x2'!D109</f>
        <v>0.03</v>
      </c>
      <c r="E109" s="66">
        <f>TRUNC(D109*((E130+E106+E107)/(1-D114)),2)</f>
        <v>214.2</v>
      </c>
    </row>
    <row r="110" spans="2:5" x14ac:dyDescent="0.25">
      <c r="B110" s="6" t="s">
        <v>100</v>
      </c>
      <c r="C110" s="4" t="s">
        <v>101</v>
      </c>
      <c r="D110" s="19">
        <f>'Supervisor 5x2'!D110</f>
        <v>6.4999999999999997E-3</v>
      </c>
      <c r="E110" s="66">
        <f>TRUNC(D110*(E130+E106+E107)/(1-D114),2)</f>
        <v>46.41</v>
      </c>
    </row>
    <row r="111" spans="2:5" x14ac:dyDescent="0.25">
      <c r="B111" s="6" t="s">
        <v>102</v>
      </c>
      <c r="C111" s="4" t="s">
        <v>103</v>
      </c>
      <c r="D111" s="19">
        <f>'Supervisor 5x2'!D111</f>
        <v>0.05</v>
      </c>
      <c r="E111" s="66">
        <f>TRUNC(D111*(E130+E106+E107)/(1-D114),2)</f>
        <v>357</v>
      </c>
    </row>
    <row r="112" spans="2:5" x14ac:dyDescent="0.25">
      <c r="B112" s="500" t="s">
        <v>104</v>
      </c>
      <c r="C112" s="500"/>
      <c r="D112" s="19">
        <f>SUM(D106:D111)</f>
        <v>9.5936600000000011E-2</v>
      </c>
      <c r="E112" s="67">
        <f>SUM(E106:E111)</f>
        <v>678.70999999999992</v>
      </c>
    </row>
    <row r="113" spans="2:5" x14ac:dyDescent="0.25">
      <c r="B113" s="2"/>
      <c r="C113" s="513"/>
      <c r="D113" s="513"/>
      <c r="E113" s="513"/>
    </row>
    <row r="114" spans="2:5" x14ac:dyDescent="0.25">
      <c r="B114" s="20" t="s">
        <v>105</v>
      </c>
      <c r="C114" s="63" t="s">
        <v>106</v>
      </c>
      <c r="D114" s="21">
        <f>D109+D110+D111</f>
        <v>8.6499999999999994E-2</v>
      </c>
      <c r="E114" s="22"/>
    </row>
    <row r="115" spans="2:5" x14ac:dyDescent="0.25">
      <c r="B115" s="23"/>
      <c r="C115" s="27">
        <v>100</v>
      </c>
      <c r="D115" s="24"/>
      <c r="E115" s="25"/>
    </row>
    <row r="116" spans="2:5" x14ac:dyDescent="0.25">
      <c r="B116" s="26"/>
      <c r="C116" s="27"/>
      <c r="D116" s="24"/>
      <c r="E116" s="25"/>
    </row>
    <row r="117" spans="2:5" x14ac:dyDescent="0.25">
      <c r="B117" s="23" t="s">
        <v>107</v>
      </c>
      <c r="C117" s="27" t="s">
        <v>108</v>
      </c>
      <c r="D117" s="24"/>
      <c r="E117" s="25">
        <f>E31+E65+E74+E94+E102+E106+E107</f>
        <v>6522.5008020693122</v>
      </c>
    </row>
    <row r="118" spans="2:5" x14ac:dyDescent="0.25">
      <c r="B118" s="23"/>
      <c r="C118" s="27"/>
      <c r="D118" s="24"/>
      <c r="E118" s="25"/>
    </row>
    <row r="119" spans="2:5" x14ac:dyDescent="0.25">
      <c r="B119" s="23" t="s">
        <v>109</v>
      </c>
      <c r="C119" s="27" t="s">
        <v>110</v>
      </c>
      <c r="D119" s="24"/>
      <c r="E119" s="25">
        <f>TRUNC(E117/(1-D114),2)</f>
        <v>7140.12</v>
      </c>
    </row>
    <row r="120" spans="2:5" x14ac:dyDescent="0.25">
      <c r="B120" s="23"/>
      <c r="C120" s="27"/>
      <c r="D120" s="24"/>
      <c r="E120" s="25"/>
    </row>
    <row r="121" spans="2:5" x14ac:dyDescent="0.25">
      <c r="B121" s="28"/>
      <c r="C121" s="64" t="s">
        <v>111</v>
      </c>
      <c r="D121" s="29"/>
      <c r="E121" s="30">
        <f>E119-E117</f>
        <v>617.61919793068773</v>
      </c>
    </row>
    <row r="122" spans="2:5" x14ac:dyDescent="0.25">
      <c r="B122" s="2"/>
      <c r="C122" s="2"/>
      <c r="D122" s="2"/>
      <c r="E122" s="10"/>
    </row>
    <row r="123" spans="2:5" x14ac:dyDescent="0.25">
      <c r="B123" s="494" t="s">
        <v>112</v>
      </c>
      <c r="C123" s="494"/>
      <c r="D123" s="494"/>
      <c r="E123" s="494"/>
    </row>
    <row r="124" spans="2:5" x14ac:dyDescent="0.25">
      <c r="B124" s="500" t="s">
        <v>113</v>
      </c>
      <c r="C124" s="500"/>
      <c r="D124" s="500"/>
      <c r="E124" s="6" t="s">
        <v>24</v>
      </c>
    </row>
    <row r="125" spans="2:5" x14ac:dyDescent="0.25">
      <c r="B125" s="3" t="s">
        <v>3</v>
      </c>
      <c r="C125" s="507" t="s">
        <v>21</v>
      </c>
      <c r="D125" s="507"/>
      <c r="E125" s="66">
        <f>E31</f>
        <v>3371.8490000000002</v>
      </c>
    </row>
    <row r="126" spans="2:5" x14ac:dyDescent="0.25">
      <c r="B126" s="3" t="s">
        <v>5</v>
      </c>
      <c r="C126" s="507" t="s">
        <v>34</v>
      </c>
      <c r="D126" s="507"/>
      <c r="E126" s="66">
        <f>E65</f>
        <v>2816.12</v>
      </c>
    </row>
    <row r="127" spans="2:5" x14ac:dyDescent="0.25">
      <c r="B127" s="3" t="s">
        <v>7</v>
      </c>
      <c r="C127" s="507" t="s">
        <v>62</v>
      </c>
      <c r="D127" s="507"/>
      <c r="E127" s="66">
        <f>E74</f>
        <v>137.03</v>
      </c>
    </row>
    <row r="128" spans="2:5" x14ac:dyDescent="0.25">
      <c r="B128" s="3" t="s">
        <v>9</v>
      </c>
      <c r="C128" s="507" t="s">
        <v>70</v>
      </c>
      <c r="D128" s="507"/>
      <c r="E128" s="66">
        <f>E94</f>
        <v>63.882489899999996</v>
      </c>
    </row>
    <row r="129" spans="2:6" x14ac:dyDescent="0.25">
      <c r="B129" s="3" t="s">
        <v>29</v>
      </c>
      <c r="C129" s="507" t="s">
        <v>89</v>
      </c>
      <c r="D129" s="507"/>
      <c r="E129" s="66">
        <f>E102</f>
        <v>72.519312169312173</v>
      </c>
    </row>
    <row r="130" spans="2:6" x14ac:dyDescent="0.25">
      <c r="B130" s="6"/>
      <c r="C130" s="500" t="s">
        <v>114</v>
      </c>
      <c r="D130" s="500"/>
      <c r="E130" s="67">
        <f>SUM(E125:E129)</f>
        <v>6461.4008020693118</v>
      </c>
    </row>
    <row r="131" spans="2:6" x14ac:dyDescent="0.25">
      <c r="B131" s="3" t="s">
        <v>31</v>
      </c>
      <c r="C131" s="507" t="s">
        <v>93</v>
      </c>
      <c r="D131" s="507"/>
      <c r="E131" s="66">
        <f>E112</f>
        <v>678.70999999999992</v>
      </c>
    </row>
    <row r="132" spans="2:6" ht="18.75" x14ac:dyDescent="0.25">
      <c r="B132" s="508" t="s">
        <v>115</v>
      </c>
      <c r="C132" s="508"/>
      <c r="D132" s="508"/>
      <c r="E132" s="71">
        <f>TRUNC(E130+E131,2)</f>
        <v>7140.11</v>
      </c>
      <c r="F132">
        <f>E132/E31</f>
        <v>2.1175651697332825</v>
      </c>
    </row>
    <row r="133" spans="2:6" x14ac:dyDescent="0.25">
      <c r="B133" s="31"/>
      <c r="C133" s="31"/>
      <c r="D133" s="31"/>
      <c r="E133" s="32">
        <f>'[2]Planilha de Custos'!$D$126</f>
        <v>7174.76</v>
      </c>
    </row>
    <row r="134" spans="2:6" x14ac:dyDescent="0.25">
      <c r="B134" s="31"/>
      <c r="C134" s="31"/>
      <c r="D134" s="31"/>
      <c r="E134" s="31"/>
    </row>
    <row r="135" spans="2:6" x14ac:dyDescent="0.25">
      <c r="B135" s="33"/>
      <c r="C135" s="34"/>
      <c r="D135" s="31"/>
      <c r="E135" s="31"/>
    </row>
    <row r="136" spans="2:6" x14ac:dyDescent="0.25">
      <c r="B136" s="35"/>
      <c r="C136" s="35"/>
    </row>
    <row r="137" spans="2:6" x14ac:dyDescent="0.25">
      <c r="B137" s="36"/>
      <c r="C137" s="31"/>
    </row>
    <row r="138" spans="2:6" x14ac:dyDescent="0.25">
      <c r="B138" s="36"/>
      <c r="C138" s="31"/>
    </row>
  </sheetData>
  <mergeCells count="71">
    <mergeCell ref="B132:D132"/>
    <mergeCell ref="C126:D126"/>
    <mergeCell ref="C127:D127"/>
    <mergeCell ref="C128:D128"/>
    <mergeCell ref="C129:D129"/>
    <mergeCell ref="C130:D130"/>
    <mergeCell ref="C131:D131"/>
    <mergeCell ref="C125:D125"/>
    <mergeCell ref="C93:D93"/>
    <mergeCell ref="B94:D94"/>
    <mergeCell ref="B95:E95"/>
    <mergeCell ref="B96:E96"/>
    <mergeCell ref="B102:C102"/>
    <mergeCell ref="B103:E103"/>
    <mergeCell ref="B104:E104"/>
    <mergeCell ref="B112:C112"/>
    <mergeCell ref="C113:E113"/>
    <mergeCell ref="B123:E123"/>
    <mergeCell ref="B124:D124"/>
    <mergeCell ref="C92:D92"/>
    <mergeCell ref="B89:E89"/>
    <mergeCell ref="B90:E90"/>
    <mergeCell ref="B74:C74"/>
    <mergeCell ref="B75:E75"/>
    <mergeCell ref="B76:E76"/>
    <mergeCell ref="B77:C77"/>
    <mergeCell ref="B84:C84"/>
    <mergeCell ref="B91:D91"/>
    <mergeCell ref="B85:E85"/>
    <mergeCell ref="B86:C86"/>
    <mergeCell ref="B88:C88"/>
    <mergeCell ref="B67:E67"/>
    <mergeCell ref="B49:E49"/>
    <mergeCell ref="B50:C50"/>
    <mergeCell ref="B58:D58"/>
    <mergeCell ref="B59:E59"/>
    <mergeCell ref="B60:E60"/>
    <mergeCell ref="B61:D61"/>
    <mergeCell ref="C62:D62"/>
    <mergeCell ref="C63:D63"/>
    <mergeCell ref="C64:D64"/>
    <mergeCell ref="B65:D65"/>
    <mergeCell ref="B66:E66"/>
    <mergeCell ref="B48:C48"/>
    <mergeCell ref="D19:E19"/>
    <mergeCell ref="D20:E20"/>
    <mergeCell ref="D21:E21"/>
    <mergeCell ref="B22:E22"/>
    <mergeCell ref="B23:E23"/>
    <mergeCell ref="B31:D31"/>
    <mergeCell ref="B33:E33"/>
    <mergeCell ref="B34:C34"/>
    <mergeCell ref="B37:C37"/>
    <mergeCell ref="B38:E38"/>
    <mergeCell ref="B39:C39"/>
    <mergeCell ref="B1:E1"/>
    <mergeCell ref="B2:E2"/>
    <mergeCell ref="B3:E3"/>
    <mergeCell ref="B4:E4"/>
    <mergeCell ref="D18:E18"/>
    <mergeCell ref="B5:E5"/>
    <mergeCell ref="B6:E6"/>
    <mergeCell ref="D7:E7"/>
    <mergeCell ref="D8:E8"/>
    <mergeCell ref="D9:E9"/>
    <mergeCell ref="D10:E10"/>
    <mergeCell ref="B12:E12"/>
    <mergeCell ref="D13:E13"/>
    <mergeCell ref="D14:E14"/>
    <mergeCell ref="B16:E16"/>
    <mergeCell ref="D17:E17"/>
  </mergeCells>
  <pageMargins left="0.511811024" right="0.511811024" top="0.78740157499999996" bottom="0.78740157499999996" header="0.31496062000000002" footer="0.31496062000000002"/>
  <pageSetup paperSize="9" scale="74" fitToHeight="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3F926-DBD1-4CB1-B724-9639FE2600A2}">
  <sheetPr>
    <pageSetUpPr fitToPage="1"/>
  </sheetPr>
  <dimension ref="B1:F138"/>
  <sheetViews>
    <sheetView topLeftCell="A46" workbookViewId="0">
      <selection activeCell="D55" sqref="D55"/>
    </sheetView>
  </sheetViews>
  <sheetFormatPr defaultRowHeight="15" x14ac:dyDescent="0.25"/>
  <cols>
    <col min="2" max="2" width="17.85546875" customWidth="1"/>
    <col min="3" max="3" width="57.85546875" customWidth="1"/>
    <col min="4" max="4" width="9.42578125" bestFit="1" customWidth="1"/>
    <col min="5" max="5" width="31.42578125" customWidth="1"/>
    <col min="6" max="6" width="10.140625" bestFit="1" customWidth="1"/>
  </cols>
  <sheetData>
    <row r="1" spans="2:5" x14ac:dyDescent="0.25">
      <c r="B1" s="516" t="s">
        <v>0</v>
      </c>
      <c r="C1" s="516"/>
      <c r="D1" s="516"/>
      <c r="E1" s="516"/>
    </row>
    <row r="2" spans="2:5" x14ac:dyDescent="0.25">
      <c r="B2" s="518"/>
      <c r="C2" s="518"/>
      <c r="D2" s="518"/>
      <c r="E2" s="518"/>
    </row>
    <row r="3" spans="2:5" x14ac:dyDescent="0.25">
      <c r="B3" s="518" t="s">
        <v>1</v>
      </c>
      <c r="C3" s="518"/>
      <c r="D3" s="518"/>
      <c r="E3" s="518"/>
    </row>
    <row r="4" spans="2:5" x14ac:dyDescent="0.25">
      <c r="B4" s="517" t="s">
        <v>116</v>
      </c>
      <c r="C4" s="517"/>
      <c r="D4" s="517"/>
      <c r="E4" s="517"/>
    </row>
    <row r="5" spans="2:5" x14ac:dyDescent="0.25">
      <c r="B5" s="493"/>
      <c r="C5" s="493"/>
      <c r="D5" s="493"/>
      <c r="E5" s="493"/>
    </row>
    <row r="6" spans="2:5" x14ac:dyDescent="0.25">
      <c r="B6" s="494" t="s">
        <v>2</v>
      </c>
      <c r="C6" s="494"/>
      <c r="D6" s="494"/>
      <c r="E6" s="494"/>
    </row>
    <row r="7" spans="2:5" x14ac:dyDescent="0.25">
      <c r="B7" s="3" t="s">
        <v>3</v>
      </c>
      <c r="C7" s="4" t="s">
        <v>4</v>
      </c>
      <c r="D7" s="495"/>
      <c r="E7" s="496"/>
    </row>
    <row r="8" spans="2:5" x14ac:dyDescent="0.25">
      <c r="B8" s="3" t="s">
        <v>5</v>
      </c>
      <c r="C8" s="4" t="s">
        <v>6</v>
      </c>
      <c r="D8" s="496"/>
      <c r="E8" s="496"/>
    </row>
    <row r="9" spans="2:5" x14ac:dyDescent="0.25">
      <c r="B9" s="3" t="s">
        <v>7</v>
      </c>
      <c r="C9" s="4" t="s">
        <v>8</v>
      </c>
      <c r="D9" s="497"/>
      <c r="E9" s="496"/>
    </row>
    <row r="10" spans="2:5" x14ac:dyDescent="0.25">
      <c r="B10" s="3" t="s">
        <v>9</v>
      </c>
      <c r="C10" s="4" t="s">
        <v>10</v>
      </c>
      <c r="D10" s="496"/>
      <c r="E10" s="496"/>
    </row>
    <row r="11" spans="2:5" x14ac:dyDescent="0.25">
      <c r="B11" s="2"/>
      <c r="C11" s="5"/>
      <c r="D11" s="2"/>
      <c r="E11" s="2"/>
    </row>
    <row r="12" spans="2:5" x14ac:dyDescent="0.25">
      <c r="B12" s="494" t="s">
        <v>11</v>
      </c>
      <c r="C12" s="494"/>
      <c r="D12" s="494"/>
      <c r="E12" s="494"/>
    </row>
    <row r="13" spans="2:5" x14ac:dyDescent="0.25">
      <c r="B13" s="60" t="s">
        <v>12</v>
      </c>
      <c r="C13" s="3" t="s">
        <v>13</v>
      </c>
      <c r="D13" s="496" t="s">
        <v>171</v>
      </c>
      <c r="E13" s="496"/>
    </row>
    <row r="14" spans="2:5" ht="38.25" x14ac:dyDescent="0.25">
      <c r="B14" s="65" t="s">
        <v>117</v>
      </c>
      <c r="C14" s="3" t="s">
        <v>14</v>
      </c>
      <c r="D14" s="496"/>
      <c r="E14" s="496"/>
    </row>
    <row r="15" spans="2:5" x14ac:dyDescent="0.25">
      <c r="B15" s="2"/>
      <c r="C15" s="5"/>
      <c r="D15" s="2"/>
      <c r="E15" s="2"/>
    </row>
    <row r="16" spans="2:5" x14ac:dyDescent="0.25">
      <c r="B16" s="494" t="s">
        <v>15</v>
      </c>
      <c r="C16" s="494"/>
      <c r="D16" s="494"/>
      <c r="E16" s="494"/>
    </row>
    <row r="17" spans="2:5" x14ac:dyDescent="0.25">
      <c r="B17" s="3">
        <v>1</v>
      </c>
      <c r="C17" s="4" t="s">
        <v>16</v>
      </c>
      <c r="D17" s="496"/>
      <c r="E17" s="496"/>
    </row>
    <row r="18" spans="2:5" x14ac:dyDescent="0.25">
      <c r="B18" s="3">
        <v>2</v>
      </c>
      <c r="C18" s="4" t="s">
        <v>17</v>
      </c>
      <c r="D18" s="496"/>
      <c r="E18" s="496"/>
    </row>
    <row r="19" spans="2:5" x14ac:dyDescent="0.25">
      <c r="B19" s="3">
        <v>3</v>
      </c>
      <c r="C19" s="4" t="s">
        <v>18</v>
      </c>
      <c r="D19" s="498"/>
      <c r="E19" s="496"/>
    </row>
    <row r="20" spans="2:5" x14ac:dyDescent="0.25">
      <c r="B20" s="3">
        <v>4</v>
      </c>
      <c r="C20" s="4" t="s">
        <v>19</v>
      </c>
      <c r="D20" s="496"/>
      <c r="E20" s="496"/>
    </row>
    <row r="21" spans="2:5" x14ac:dyDescent="0.25">
      <c r="B21" s="3">
        <v>5</v>
      </c>
      <c r="C21" s="4" t="s">
        <v>20</v>
      </c>
      <c r="D21" s="495"/>
      <c r="E21" s="496"/>
    </row>
    <row r="22" spans="2:5" x14ac:dyDescent="0.25">
      <c r="B22" s="503"/>
      <c r="C22" s="503"/>
      <c r="D22" s="503"/>
      <c r="E22" s="503"/>
    </row>
    <row r="23" spans="2:5" x14ac:dyDescent="0.25">
      <c r="B23" s="504" t="s">
        <v>21</v>
      </c>
      <c r="C23" s="504"/>
      <c r="D23" s="504"/>
      <c r="E23" s="504"/>
    </row>
    <row r="24" spans="2:5" x14ac:dyDescent="0.25">
      <c r="B24" s="6">
        <v>1</v>
      </c>
      <c r="C24" s="6" t="s">
        <v>22</v>
      </c>
      <c r="D24" s="6" t="s">
        <v>23</v>
      </c>
      <c r="E24" s="6" t="s">
        <v>24</v>
      </c>
    </row>
    <row r="25" spans="2:5" x14ac:dyDescent="0.25">
      <c r="B25" s="6" t="s">
        <v>3</v>
      </c>
      <c r="C25" s="4" t="s">
        <v>25</v>
      </c>
      <c r="D25" s="7"/>
      <c r="E25" s="66">
        <v>3111.12</v>
      </c>
    </row>
    <row r="26" spans="2:5" x14ac:dyDescent="0.25">
      <c r="B26" s="6" t="s">
        <v>5</v>
      </c>
      <c r="C26" s="4" t="s">
        <v>26</v>
      </c>
      <c r="D26" s="8"/>
      <c r="E26" s="66">
        <f>E25*30%</f>
        <v>933.3359999999999</v>
      </c>
    </row>
    <row r="27" spans="2:5" x14ac:dyDescent="0.25">
      <c r="B27" s="6" t="s">
        <v>7</v>
      </c>
      <c r="C27" s="4" t="s">
        <v>27</v>
      </c>
      <c r="D27" s="8"/>
      <c r="E27" s="66">
        <v>0</v>
      </c>
    </row>
    <row r="28" spans="2:5" x14ac:dyDescent="0.25">
      <c r="B28" s="6" t="s">
        <v>9</v>
      </c>
      <c r="C28" s="4" t="s">
        <v>28</v>
      </c>
      <c r="D28" s="8"/>
      <c r="E28" s="66">
        <f>(E25+E26)/(220)*(20%)*(120)</f>
        <v>441.21338181818186</v>
      </c>
    </row>
    <row r="29" spans="2:5" x14ac:dyDescent="0.25">
      <c r="B29" s="6" t="s">
        <v>29</v>
      </c>
      <c r="C29" s="4" t="s">
        <v>30</v>
      </c>
      <c r="D29" s="9"/>
      <c r="E29" s="66">
        <v>0</v>
      </c>
    </row>
    <row r="30" spans="2:5" x14ac:dyDescent="0.25">
      <c r="B30" s="6" t="s">
        <v>31</v>
      </c>
      <c r="C30" s="4" t="s">
        <v>32</v>
      </c>
      <c r="D30" s="8"/>
      <c r="E30" s="66">
        <v>0</v>
      </c>
    </row>
    <row r="31" spans="2:5" x14ac:dyDescent="0.25">
      <c r="B31" s="500" t="s">
        <v>33</v>
      </c>
      <c r="C31" s="500"/>
      <c r="D31" s="500"/>
      <c r="E31" s="67">
        <f>SUM(E25:E30)</f>
        <v>4485.6693818181811</v>
      </c>
    </row>
    <row r="32" spans="2:5" x14ac:dyDescent="0.25">
      <c r="B32" s="1"/>
      <c r="C32" s="1"/>
      <c r="D32" s="1"/>
      <c r="E32" s="10"/>
    </row>
    <row r="33" spans="2:5" x14ac:dyDescent="0.25">
      <c r="B33" s="504" t="s">
        <v>34</v>
      </c>
      <c r="C33" s="504"/>
      <c r="D33" s="504"/>
      <c r="E33" s="504"/>
    </row>
    <row r="34" spans="2:5" x14ac:dyDescent="0.25">
      <c r="B34" s="499" t="s">
        <v>35</v>
      </c>
      <c r="C34" s="499"/>
      <c r="D34" s="11" t="s">
        <v>23</v>
      </c>
      <c r="E34" s="11" t="s">
        <v>24</v>
      </c>
    </row>
    <row r="35" spans="2:5" x14ac:dyDescent="0.25">
      <c r="B35" s="6" t="s">
        <v>3</v>
      </c>
      <c r="C35" s="4" t="s">
        <v>119</v>
      </c>
      <c r="D35" s="12">
        <f>'Vigilante 12x36 Diurno'!D35</f>
        <v>8.3299999999999999E-2</v>
      </c>
      <c r="E35" s="66">
        <f>TRUNC($E$31*D35,2)</f>
        <v>373.65</v>
      </c>
    </row>
    <row r="36" spans="2:5" x14ac:dyDescent="0.25">
      <c r="B36" s="6" t="s">
        <v>5</v>
      </c>
      <c r="C36" s="4" t="s">
        <v>120</v>
      </c>
      <c r="D36" s="13">
        <f>'Vigilante 12x36 Diurno'!D36</f>
        <v>0.121</v>
      </c>
      <c r="E36" s="66">
        <f>TRUNC($E$31*D36,2)</f>
        <v>542.76</v>
      </c>
    </row>
    <row r="37" spans="2:5" x14ac:dyDescent="0.25">
      <c r="B37" s="500" t="s">
        <v>36</v>
      </c>
      <c r="C37" s="500"/>
      <c r="D37" s="14">
        <f>SUM(D35:D36)</f>
        <v>0.20429999999999998</v>
      </c>
      <c r="E37" s="67">
        <f>SUM(E35:E36)</f>
        <v>916.41</v>
      </c>
    </row>
    <row r="38" spans="2:5" x14ac:dyDescent="0.25">
      <c r="B38" s="501"/>
      <c r="C38" s="502"/>
      <c r="D38" s="502"/>
      <c r="E38" s="502"/>
    </row>
    <row r="39" spans="2:5" x14ac:dyDescent="0.25">
      <c r="B39" s="499" t="s">
        <v>37</v>
      </c>
      <c r="C39" s="499"/>
      <c r="D39" s="11" t="s">
        <v>23</v>
      </c>
      <c r="E39" s="68" t="s">
        <v>24</v>
      </c>
    </row>
    <row r="40" spans="2:5" x14ac:dyDescent="0.25">
      <c r="B40" s="6" t="s">
        <v>3</v>
      </c>
      <c r="C40" s="4" t="s">
        <v>38</v>
      </c>
      <c r="D40" s="12">
        <f>'Vigilante 12x36 Diurno'!D40</f>
        <v>0.2</v>
      </c>
      <c r="E40" s="66">
        <f>TRUNC(($E$31+$E$37)*$D$40,2)</f>
        <v>1080.4100000000001</v>
      </c>
    </row>
    <row r="41" spans="2:5" x14ac:dyDescent="0.25">
      <c r="B41" s="6" t="s">
        <v>5</v>
      </c>
      <c r="C41" s="4" t="s">
        <v>39</v>
      </c>
      <c r="D41" s="12">
        <f>'Vigilante 12x36 Diurno'!D41</f>
        <v>2.5000000000000001E-2</v>
      </c>
      <c r="E41" s="66">
        <f>TRUNC(($E$31+$E$37)*$D$41,2)</f>
        <v>135.05000000000001</v>
      </c>
    </row>
    <row r="42" spans="2:5" x14ac:dyDescent="0.25">
      <c r="B42" s="6" t="s">
        <v>7</v>
      </c>
      <c r="C42" s="4" t="s">
        <v>40</v>
      </c>
      <c r="D42" s="12">
        <f>'Vigilante 12x36 Diurno'!D42</f>
        <v>1.4999999999999999E-2</v>
      </c>
      <c r="E42" s="66">
        <f>TRUNC(($E$31+$E$37)*$D$42,2)</f>
        <v>81.03</v>
      </c>
    </row>
    <row r="43" spans="2:5" x14ac:dyDescent="0.25">
      <c r="B43" s="6" t="s">
        <v>9</v>
      </c>
      <c r="C43" s="4" t="s">
        <v>41</v>
      </c>
      <c r="D43" s="12">
        <f>'Vigilante 12x36 Diurno'!D43</f>
        <v>1.4999999999999999E-2</v>
      </c>
      <c r="E43" s="66">
        <f>TRUNC(($E$31+$E$37)*$D$43,2)</f>
        <v>81.03</v>
      </c>
    </row>
    <row r="44" spans="2:5" x14ac:dyDescent="0.25">
      <c r="B44" s="6" t="s">
        <v>29</v>
      </c>
      <c r="C44" s="4" t="s">
        <v>42</v>
      </c>
      <c r="D44" s="12">
        <f>'Vigilante 12x36 Diurno'!D44</f>
        <v>0.01</v>
      </c>
      <c r="E44" s="66">
        <f>TRUNC(($E$31+$E$37)*$D$44,2)</f>
        <v>54.02</v>
      </c>
    </row>
    <row r="45" spans="2:5" x14ac:dyDescent="0.25">
      <c r="B45" s="6" t="s">
        <v>31</v>
      </c>
      <c r="C45" s="4" t="s">
        <v>43</v>
      </c>
      <c r="D45" s="12">
        <f>'Vigilante 12x36 Diurno'!D45</f>
        <v>6.0000000000000001E-3</v>
      </c>
      <c r="E45" s="66">
        <f>TRUNC(($E$31+$E$37)*$D$45,2)</f>
        <v>32.409999999999997</v>
      </c>
    </row>
    <row r="46" spans="2:5" x14ac:dyDescent="0.25">
      <c r="B46" s="6" t="s">
        <v>44</v>
      </c>
      <c r="C46" s="4" t="s">
        <v>45</v>
      </c>
      <c r="D46" s="12">
        <f>'Vigilante 12x36 Diurno'!D46</f>
        <v>2E-3</v>
      </c>
      <c r="E46" s="66">
        <f>TRUNC(($E$31+$E$37)*$D$46,2)</f>
        <v>10.8</v>
      </c>
    </row>
    <row r="47" spans="2:5" x14ac:dyDescent="0.25">
      <c r="B47" s="6" t="s">
        <v>46</v>
      </c>
      <c r="C47" s="4" t="s">
        <v>47</v>
      </c>
      <c r="D47" s="12">
        <f>'Vigilante 12x36 Diurno'!D47</f>
        <v>0.08</v>
      </c>
      <c r="E47" s="66">
        <f>TRUNC(($E$31+$E$37)*$D$47,2)</f>
        <v>432.16</v>
      </c>
    </row>
    <row r="48" spans="2:5" x14ac:dyDescent="0.25">
      <c r="B48" s="500" t="s">
        <v>48</v>
      </c>
      <c r="C48" s="500"/>
      <c r="D48" s="14">
        <f>SUM(D40:D47)</f>
        <v>0.35300000000000004</v>
      </c>
      <c r="E48" s="67">
        <f>SUM(E40:E47)</f>
        <v>1906.91</v>
      </c>
    </row>
    <row r="49" spans="2:6" x14ac:dyDescent="0.25">
      <c r="B49" s="519"/>
      <c r="C49" s="519"/>
      <c r="D49" s="519"/>
      <c r="E49" s="520"/>
    </row>
    <row r="50" spans="2:6" x14ac:dyDescent="0.25">
      <c r="B50" s="499" t="s">
        <v>49</v>
      </c>
      <c r="C50" s="499"/>
      <c r="D50" s="16"/>
      <c r="E50" s="11" t="s">
        <v>24</v>
      </c>
    </row>
    <row r="51" spans="2:6" x14ac:dyDescent="0.25">
      <c r="B51" s="6" t="s">
        <v>3</v>
      </c>
      <c r="C51" s="7" t="s">
        <v>121</v>
      </c>
      <c r="D51" s="18">
        <f>'Vigilante 12x36 Diurno'!D51</f>
        <v>11</v>
      </c>
      <c r="E51" s="69"/>
    </row>
    <row r="52" spans="2:6" x14ac:dyDescent="0.25">
      <c r="B52" s="6" t="s">
        <v>5</v>
      </c>
      <c r="C52" s="7" t="s">
        <v>125</v>
      </c>
      <c r="D52" s="18">
        <f>'Vigilante 12x36 Diurno'!D52</f>
        <v>44.216999999999999</v>
      </c>
      <c r="E52" s="69">
        <f>TRUNC(D52*15,2)</f>
        <v>663.25</v>
      </c>
      <c r="F52" s="38"/>
    </row>
    <row r="53" spans="2:6" x14ac:dyDescent="0.25">
      <c r="B53" s="6" t="s">
        <v>7</v>
      </c>
      <c r="C53" s="37" t="s">
        <v>122</v>
      </c>
      <c r="D53" s="3"/>
      <c r="E53" s="69" t="s">
        <v>50</v>
      </c>
    </row>
    <row r="54" spans="2:6" x14ac:dyDescent="0.25">
      <c r="B54" s="6" t="s">
        <v>9</v>
      </c>
      <c r="C54" s="7" t="s">
        <v>51</v>
      </c>
      <c r="D54" s="18">
        <f>'Supervisor 5x2'!D54</f>
        <v>25.48</v>
      </c>
      <c r="E54" s="69">
        <f>D54</f>
        <v>25.48</v>
      </c>
    </row>
    <row r="55" spans="2:6" x14ac:dyDescent="0.25">
      <c r="B55" s="6" t="s">
        <v>29</v>
      </c>
      <c r="C55" s="37" t="s">
        <v>123</v>
      </c>
      <c r="D55" s="3"/>
      <c r="E55" s="69" t="s">
        <v>50</v>
      </c>
    </row>
    <row r="56" spans="2:6" x14ac:dyDescent="0.25">
      <c r="B56" s="6" t="s">
        <v>31</v>
      </c>
      <c r="C56" s="37" t="s">
        <v>124</v>
      </c>
      <c r="D56" s="3"/>
      <c r="E56" s="69">
        <v>0</v>
      </c>
    </row>
    <row r="57" spans="2:6" x14ac:dyDescent="0.25">
      <c r="B57" s="6" t="s">
        <v>44</v>
      </c>
      <c r="C57" s="7" t="s">
        <v>32</v>
      </c>
      <c r="D57" s="3"/>
      <c r="E57" s="69" t="s">
        <v>50</v>
      </c>
    </row>
    <row r="58" spans="2:6" x14ac:dyDescent="0.25">
      <c r="B58" s="500" t="s">
        <v>52</v>
      </c>
      <c r="C58" s="500"/>
      <c r="D58" s="500"/>
      <c r="E58" s="67">
        <f>SUM(E51:E57)</f>
        <v>688.73</v>
      </c>
    </row>
    <row r="59" spans="2:6" x14ac:dyDescent="0.25">
      <c r="B59" s="519"/>
      <c r="C59" s="519"/>
      <c r="D59" s="519"/>
      <c r="E59" s="520"/>
    </row>
    <row r="60" spans="2:6" x14ac:dyDescent="0.25">
      <c r="B60" s="494" t="s">
        <v>53</v>
      </c>
      <c r="C60" s="494"/>
      <c r="D60" s="494"/>
      <c r="E60" s="494"/>
    </row>
    <row r="61" spans="2:6" x14ac:dyDescent="0.25">
      <c r="B61" s="500" t="s">
        <v>54</v>
      </c>
      <c r="C61" s="500"/>
      <c r="D61" s="500"/>
      <c r="E61" s="6" t="s">
        <v>24</v>
      </c>
    </row>
    <row r="62" spans="2:6" x14ac:dyDescent="0.25">
      <c r="B62" s="6" t="s">
        <v>55</v>
      </c>
      <c r="C62" s="507" t="s">
        <v>56</v>
      </c>
      <c r="D62" s="507"/>
      <c r="E62" s="66">
        <f>E37</f>
        <v>916.41</v>
      </c>
    </row>
    <row r="63" spans="2:6" x14ac:dyDescent="0.25">
      <c r="B63" s="6" t="s">
        <v>57</v>
      </c>
      <c r="C63" s="507" t="s">
        <v>58</v>
      </c>
      <c r="D63" s="507"/>
      <c r="E63" s="66">
        <f>E48</f>
        <v>1906.91</v>
      </c>
    </row>
    <row r="64" spans="2:6" x14ac:dyDescent="0.25">
      <c r="B64" s="6" t="s">
        <v>59</v>
      </c>
      <c r="C64" s="507" t="s">
        <v>60</v>
      </c>
      <c r="D64" s="507"/>
      <c r="E64" s="66">
        <f>E58</f>
        <v>688.73</v>
      </c>
    </row>
    <row r="65" spans="2:5" x14ac:dyDescent="0.25">
      <c r="B65" s="500" t="s">
        <v>61</v>
      </c>
      <c r="C65" s="500"/>
      <c r="D65" s="500"/>
      <c r="E65" s="67">
        <f>SUM(E62:E64)</f>
        <v>3512.05</v>
      </c>
    </row>
    <row r="66" spans="2:5" x14ac:dyDescent="0.25">
      <c r="B66" s="509"/>
      <c r="C66" s="510"/>
      <c r="D66" s="510"/>
      <c r="E66" s="510"/>
    </row>
    <row r="67" spans="2:5" x14ac:dyDescent="0.25">
      <c r="B67" s="504" t="s">
        <v>62</v>
      </c>
      <c r="C67" s="504"/>
      <c r="D67" s="504"/>
      <c r="E67" s="504"/>
    </row>
    <row r="68" spans="2:5" x14ac:dyDescent="0.25">
      <c r="B68" s="6">
        <v>3</v>
      </c>
      <c r="C68" s="6" t="s">
        <v>63</v>
      </c>
      <c r="D68" s="6" t="s">
        <v>23</v>
      </c>
      <c r="E68" s="6" t="s">
        <v>24</v>
      </c>
    </row>
    <row r="69" spans="2:5" x14ac:dyDescent="0.25">
      <c r="B69" s="6" t="s">
        <v>3</v>
      </c>
      <c r="C69" s="4" t="s">
        <v>64</v>
      </c>
      <c r="D69" s="12">
        <f>'Vigilante 12x36 Diurno'!D69</f>
        <v>4.0000000000000002E-4</v>
      </c>
      <c r="E69" s="66">
        <f>TRUNC(D69*$E$31,2)</f>
        <v>1.79</v>
      </c>
    </row>
    <row r="70" spans="2:5" x14ac:dyDescent="0.25">
      <c r="B70" s="6" t="s">
        <v>5</v>
      </c>
      <c r="C70" s="4" t="s">
        <v>65</v>
      </c>
      <c r="D70" s="12">
        <f>'Vigilante 12x36 Diurno'!D70</f>
        <v>3.2000000000000005E-5</v>
      </c>
      <c r="E70" s="66">
        <f>TRUNC(D70*$E$31,2)</f>
        <v>0.14000000000000001</v>
      </c>
    </row>
    <row r="71" spans="2:5" x14ac:dyDescent="0.25">
      <c r="B71" s="6" t="s">
        <v>7</v>
      </c>
      <c r="C71" s="4" t="s">
        <v>66</v>
      </c>
      <c r="D71" s="12">
        <f>'Vigilante 12x36 Diurno'!D71</f>
        <v>2.0000000000000001E-4</v>
      </c>
      <c r="E71" s="66">
        <f t="shared" ref="E71:E72" si="0">TRUNC(D71*$E$31,2)</f>
        <v>0.89</v>
      </c>
    </row>
    <row r="72" spans="2:5" x14ac:dyDescent="0.25">
      <c r="B72" s="6" t="s">
        <v>9</v>
      </c>
      <c r="C72" s="4" t="s">
        <v>67</v>
      </c>
      <c r="D72" s="155">
        <f>'Vigilante 12x36 Diurno'!D72</f>
        <v>1.6000000000000003E-5</v>
      </c>
      <c r="E72" s="66">
        <f t="shared" si="0"/>
        <v>7.0000000000000007E-2</v>
      </c>
    </row>
    <row r="73" spans="2:5" ht="25.5" customHeight="1" x14ac:dyDescent="0.25">
      <c r="B73" s="6" t="s">
        <v>29</v>
      </c>
      <c r="C73" s="61" t="s">
        <v>68</v>
      </c>
      <c r="D73" s="12">
        <f>'Vigilante 12x36 Diurno'!D73</f>
        <v>0.04</v>
      </c>
      <c r="E73" s="66">
        <f>TRUNC(D73*$E$31,2)</f>
        <v>179.42</v>
      </c>
    </row>
    <row r="74" spans="2:5" x14ac:dyDescent="0.25">
      <c r="B74" s="500" t="s">
        <v>69</v>
      </c>
      <c r="C74" s="500"/>
      <c r="D74" s="14">
        <f>SUM(D69:D73)</f>
        <v>4.0648000000000004E-2</v>
      </c>
      <c r="E74" s="67">
        <f>SUM(E69:E73)</f>
        <v>182.30999999999997</v>
      </c>
    </row>
    <row r="75" spans="2:5" x14ac:dyDescent="0.25">
      <c r="B75" s="514"/>
      <c r="C75" s="515"/>
      <c r="D75" s="515"/>
      <c r="E75" s="515"/>
    </row>
    <row r="76" spans="2:5" x14ac:dyDescent="0.25">
      <c r="B76" s="504" t="s">
        <v>70</v>
      </c>
      <c r="C76" s="504"/>
      <c r="D76" s="504"/>
      <c r="E76" s="504"/>
    </row>
    <row r="77" spans="2:5" x14ac:dyDescent="0.25">
      <c r="B77" s="500" t="s">
        <v>71</v>
      </c>
      <c r="C77" s="500"/>
      <c r="D77" s="6" t="s">
        <v>23</v>
      </c>
      <c r="E77" s="6" t="s">
        <v>24</v>
      </c>
    </row>
    <row r="78" spans="2:5" ht="15" customHeight="1" x14ac:dyDescent="0.25">
      <c r="B78" s="6" t="s">
        <v>3</v>
      </c>
      <c r="C78" s="4" t="s">
        <v>72</v>
      </c>
      <c r="D78" s="12">
        <f>'Vigilante 12x36 Diurno'!D78</f>
        <v>9.7000000000000003E-3</v>
      </c>
      <c r="E78" s="66">
        <f>(E$125+E$126+E$127)*D78</f>
        <v>79.346285003636368</v>
      </c>
    </row>
    <row r="79" spans="2:5" x14ac:dyDescent="0.25">
      <c r="B79" s="6" t="s">
        <v>5</v>
      </c>
      <c r="C79" s="4" t="s">
        <v>73</v>
      </c>
      <c r="D79" s="12">
        <f>'Vigilante 12x36 Diurno'!D79</f>
        <v>1E-4</v>
      </c>
      <c r="E79" s="66">
        <f>(E$125+E$126+E$127)*D79</f>
        <v>0.81800293818181824</v>
      </c>
    </row>
    <row r="80" spans="2:5" x14ac:dyDescent="0.25">
      <c r="B80" s="6" t="s">
        <v>7</v>
      </c>
      <c r="C80" s="4" t="s">
        <v>74</v>
      </c>
      <c r="D80" s="12">
        <f>'Vigilante 12x36 Diurno'!D80</f>
        <v>1E-4</v>
      </c>
      <c r="E80" s="66">
        <f>(E$125+E$126+E$127)*D80</f>
        <v>0.81800293818181824</v>
      </c>
    </row>
    <row r="81" spans="2:5" x14ac:dyDescent="0.25">
      <c r="B81" s="6" t="s">
        <v>9</v>
      </c>
      <c r="C81" s="4" t="s">
        <v>75</v>
      </c>
      <c r="D81" s="12">
        <f>'Vigilante 12x36 Diurno'!D81</f>
        <v>1E-4</v>
      </c>
      <c r="E81" s="66">
        <f>(E$125+E$126+E$127)*D81</f>
        <v>0.81800293818181824</v>
      </c>
    </row>
    <row r="82" spans="2:5" x14ac:dyDescent="0.25">
      <c r="B82" s="6" t="s">
        <v>29</v>
      </c>
      <c r="C82" s="4" t="s">
        <v>76</v>
      </c>
      <c r="D82" s="12">
        <f>'Vigilante 12x36 Diurno'!D82</f>
        <v>1E-4</v>
      </c>
      <c r="E82" s="66">
        <f>(E$125+E$126+E$127)*D82</f>
        <v>0.81800293818181824</v>
      </c>
    </row>
    <row r="83" spans="2:5" x14ac:dyDescent="0.25">
      <c r="B83" s="6" t="s">
        <v>31</v>
      </c>
      <c r="C83" s="4" t="s">
        <v>77</v>
      </c>
      <c r="D83" s="12"/>
      <c r="E83" s="66">
        <f t="shared" ref="E83" si="1">TRUNC(($E$31)*D83,2)</f>
        <v>0</v>
      </c>
    </row>
    <row r="84" spans="2:5" x14ac:dyDescent="0.25">
      <c r="B84" s="500" t="s">
        <v>78</v>
      </c>
      <c r="C84" s="500"/>
      <c r="D84" s="14">
        <f>SUM(D78:D83)</f>
        <v>1.0099999999999998E-2</v>
      </c>
      <c r="E84" s="67">
        <f>SUM(E78:E83)</f>
        <v>82.618296756363648</v>
      </c>
    </row>
    <row r="85" spans="2:5" x14ac:dyDescent="0.25">
      <c r="B85" s="505"/>
      <c r="C85" s="506"/>
      <c r="D85" s="506"/>
      <c r="E85" s="506"/>
    </row>
    <row r="86" spans="2:5" x14ac:dyDescent="0.25">
      <c r="B86" s="500" t="s">
        <v>79</v>
      </c>
      <c r="C86" s="500"/>
      <c r="D86" s="6" t="s">
        <v>23</v>
      </c>
      <c r="E86" s="6" t="s">
        <v>24</v>
      </c>
    </row>
    <row r="87" spans="2:5" x14ac:dyDescent="0.25">
      <c r="B87" s="6" t="s">
        <v>3</v>
      </c>
      <c r="C87" s="61" t="s">
        <v>80</v>
      </c>
      <c r="D87" s="12"/>
      <c r="E87" s="66">
        <v>0</v>
      </c>
    </row>
    <row r="88" spans="2:5" x14ac:dyDescent="0.25">
      <c r="B88" s="500" t="s">
        <v>81</v>
      </c>
      <c r="C88" s="500"/>
      <c r="D88" s="14">
        <v>0</v>
      </c>
      <c r="E88" s="67">
        <v>0</v>
      </c>
    </row>
    <row r="89" spans="2:5" x14ac:dyDescent="0.25">
      <c r="B89" s="511"/>
      <c r="C89" s="512"/>
      <c r="D89" s="512"/>
      <c r="E89" s="512"/>
    </row>
    <row r="90" spans="2:5" x14ac:dyDescent="0.25">
      <c r="B90" s="494" t="s">
        <v>82</v>
      </c>
      <c r="C90" s="494"/>
      <c r="D90" s="494"/>
      <c r="E90" s="494"/>
    </row>
    <row r="91" spans="2:5" x14ac:dyDescent="0.25">
      <c r="B91" s="500" t="s">
        <v>83</v>
      </c>
      <c r="C91" s="500"/>
      <c r="D91" s="500"/>
      <c r="E91" s="6" t="s">
        <v>24</v>
      </c>
    </row>
    <row r="92" spans="2:5" x14ac:dyDescent="0.25">
      <c r="B92" s="6" t="s">
        <v>84</v>
      </c>
      <c r="C92" s="507" t="s">
        <v>85</v>
      </c>
      <c r="D92" s="507"/>
      <c r="E92" s="66">
        <f>E84</f>
        <v>82.618296756363648</v>
      </c>
    </row>
    <row r="93" spans="2:5" x14ac:dyDescent="0.25">
      <c r="B93" s="6" t="s">
        <v>86</v>
      </c>
      <c r="C93" s="507" t="s">
        <v>87</v>
      </c>
      <c r="D93" s="507"/>
      <c r="E93" s="66">
        <f>E88</f>
        <v>0</v>
      </c>
    </row>
    <row r="94" spans="2:5" x14ac:dyDescent="0.25">
      <c r="B94" s="500" t="s">
        <v>88</v>
      </c>
      <c r="C94" s="500"/>
      <c r="D94" s="500"/>
      <c r="E94" s="67">
        <f>SUM(E92:E93)</f>
        <v>82.618296756363648</v>
      </c>
    </row>
    <row r="95" spans="2:5" x14ac:dyDescent="0.25">
      <c r="B95" s="509"/>
      <c r="C95" s="510"/>
      <c r="D95" s="510"/>
      <c r="E95" s="510"/>
    </row>
    <row r="96" spans="2:5" x14ac:dyDescent="0.25">
      <c r="B96" s="504" t="s">
        <v>89</v>
      </c>
      <c r="C96" s="504"/>
      <c r="D96" s="504"/>
      <c r="E96" s="504"/>
    </row>
    <row r="97" spans="2:5" x14ac:dyDescent="0.25">
      <c r="B97" s="6">
        <v>5</v>
      </c>
      <c r="C97" s="6" t="s">
        <v>90</v>
      </c>
      <c r="D97" s="6"/>
      <c r="E97" s="6" t="s">
        <v>24</v>
      </c>
    </row>
    <row r="98" spans="2:5" x14ac:dyDescent="0.25">
      <c r="B98" s="6" t="s">
        <v>3</v>
      </c>
      <c r="C98" s="7" t="s">
        <v>91</v>
      </c>
      <c r="D98" s="12"/>
      <c r="E98" s="66">
        <f>Uniforme!G27</f>
        <v>79.374999999999986</v>
      </c>
    </row>
    <row r="99" spans="2:5" x14ac:dyDescent="0.25">
      <c r="B99" s="6" t="s">
        <v>5</v>
      </c>
      <c r="C99" s="59" t="s">
        <v>169</v>
      </c>
      <c r="D99" s="12"/>
      <c r="E99" s="66">
        <f>Materiais!F22</f>
        <v>13.00079365079365</v>
      </c>
    </row>
    <row r="100" spans="2:5" x14ac:dyDescent="0.25">
      <c r="B100" s="15" t="s">
        <v>7</v>
      </c>
      <c r="C100" s="59" t="s">
        <v>170</v>
      </c>
      <c r="D100" s="3"/>
      <c r="E100" s="66">
        <f>Equipamentos!G12</f>
        <v>7.0185185185185182</v>
      </c>
    </row>
    <row r="101" spans="2:5" x14ac:dyDescent="0.25">
      <c r="B101" s="15" t="s">
        <v>9</v>
      </c>
      <c r="C101" s="59" t="s">
        <v>32</v>
      </c>
      <c r="D101" s="3"/>
      <c r="E101" s="66">
        <v>0</v>
      </c>
    </row>
    <row r="102" spans="2:5" x14ac:dyDescent="0.25">
      <c r="B102" s="500" t="s">
        <v>92</v>
      </c>
      <c r="C102" s="500"/>
      <c r="D102" s="14"/>
      <c r="E102" s="67">
        <f>SUM(E98:E101)</f>
        <v>99.394312169312158</v>
      </c>
    </row>
    <row r="103" spans="2:5" x14ac:dyDescent="0.25">
      <c r="B103" s="509"/>
      <c r="C103" s="510"/>
      <c r="D103" s="510"/>
      <c r="E103" s="510"/>
    </row>
    <row r="104" spans="2:5" x14ac:dyDescent="0.25">
      <c r="B104" s="504" t="s">
        <v>93</v>
      </c>
      <c r="C104" s="504"/>
      <c r="D104" s="504"/>
      <c r="E104" s="504"/>
    </row>
    <row r="105" spans="2:5" x14ac:dyDescent="0.25">
      <c r="B105" s="6">
        <v>6</v>
      </c>
      <c r="C105" s="6" t="s">
        <v>94</v>
      </c>
      <c r="D105" s="6" t="s">
        <v>23</v>
      </c>
      <c r="E105" s="6" t="s">
        <v>24</v>
      </c>
    </row>
    <row r="106" spans="2:5" x14ac:dyDescent="0.25">
      <c r="B106" s="6" t="s">
        <v>3</v>
      </c>
      <c r="C106" s="4" t="s">
        <v>95</v>
      </c>
      <c r="D106" s="17">
        <f>'Vigilante 12x36 Diurno'!D106</f>
        <v>5.0000000000000001E-3</v>
      </c>
      <c r="E106" s="66">
        <f>TRUNC(((E130)*D106),2)</f>
        <v>41.81</v>
      </c>
    </row>
    <row r="107" spans="2:5" x14ac:dyDescent="0.25">
      <c r="B107" s="6" t="s">
        <v>5</v>
      </c>
      <c r="C107" s="4" t="s">
        <v>96</v>
      </c>
      <c r="D107" s="17">
        <f>'Vigilante 12x36 Diurno'!D107</f>
        <v>4.4365999999999997E-3</v>
      </c>
      <c r="E107" s="66">
        <f>TRUNC(((E130+E106)*D107),2)</f>
        <v>37.28</v>
      </c>
    </row>
    <row r="108" spans="2:5" x14ac:dyDescent="0.25">
      <c r="B108" s="6" t="s">
        <v>7</v>
      </c>
      <c r="C108" s="62" t="s">
        <v>97</v>
      </c>
      <c r="D108" s="8"/>
      <c r="E108" s="70"/>
    </row>
    <row r="109" spans="2:5" x14ac:dyDescent="0.25">
      <c r="B109" s="6" t="s">
        <v>98</v>
      </c>
      <c r="C109" s="4" t="s">
        <v>99</v>
      </c>
      <c r="D109" s="19">
        <f>'Vigilante 12x36 Diurno'!D109</f>
        <v>0.03</v>
      </c>
      <c r="E109" s="66">
        <f>TRUNC(D109*((E130+E106+E107)/(1-D114)),2)</f>
        <v>277.20999999999998</v>
      </c>
    </row>
    <row r="110" spans="2:5" x14ac:dyDescent="0.25">
      <c r="B110" s="6" t="s">
        <v>100</v>
      </c>
      <c r="C110" s="4" t="s">
        <v>101</v>
      </c>
      <c r="D110" s="19">
        <f>'Vigilante 12x36 Diurno'!D110</f>
        <v>6.4999999999999997E-3</v>
      </c>
      <c r="E110" s="66">
        <f>TRUNC(D110*(E130+E106+E107)/(1-D114),2)</f>
        <v>60.06</v>
      </c>
    </row>
    <row r="111" spans="2:5" x14ac:dyDescent="0.25">
      <c r="B111" s="6" t="s">
        <v>102</v>
      </c>
      <c r="C111" s="4" t="s">
        <v>103</v>
      </c>
      <c r="D111" s="19">
        <f>'Vigilante 12x36 Diurno'!D111</f>
        <v>0.05</v>
      </c>
      <c r="E111" s="66">
        <f>TRUNC(D111*(E130+E106+E107)/(1-D114),2)</f>
        <v>462.02</v>
      </c>
    </row>
    <row r="112" spans="2:5" x14ac:dyDescent="0.25">
      <c r="B112" s="500" t="s">
        <v>104</v>
      </c>
      <c r="C112" s="500"/>
      <c r="D112" s="19">
        <f>SUM(D106:D111)</f>
        <v>9.5936600000000011E-2</v>
      </c>
      <c r="E112" s="67">
        <f>SUM(E106:E111)</f>
        <v>878.37999999999988</v>
      </c>
    </row>
    <row r="113" spans="2:5" x14ac:dyDescent="0.25">
      <c r="B113" s="2"/>
      <c r="C113" s="513"/>
      <c r="D113" s="513"/>
      <c r="E113" s="513"/>
    </row>
    <row r="114" spans="2:5" x14ac:dyDescent="0.25">
      <c r="B114" s="20" t="s">
        <v>105</v>
      </c>
      <c r="C114" s="63" t="s">
        <v>106</v>
      </c>
      <c r="D114" s="21">
        <f>D109+D110+D111</f>
        <v>8.6499999999999994E-2</v>
      </c>
      <c r="E114" s="22"/>
    </row>
    <row r="115" spans="2:5" x14ac:dyDescent="0.25">
      <c r="B115" s="23"/>
      <c r="C115" s="27">
        <v>100</v>
      </c>
      <c r="D115" s="24"/>
      <c r="E115" s="25"/>
    </row>
    <row r="116" spans="2:5" x14ac:dyDescent="0.25">
      <c r="B116" s="26"/>
      <c r="C116" s="27"/>
      <c r="D116" s="24"/>
      <c r="E116" s="25"/>
    </row>
    <row r="117" spans="2:5" x14ac:dyDescent="0.25">
      <c r="B117" s="23" t="s">
        <v>107</v>
      </c>
      <c r="C117" s="27" t="s">
        <v>108</v>
      </c>
      <c r="D117" s="24"/>
      <c r="E117" s="25"/>
    </row>
    <row r="118" spans="2:5" x14ac:dyDescent="0.25">
      <c r="B118" s="23"/>
      <c r="C118" s="27"/>
      <c r="D118" s="24"/>
      <c r="E118" s="25"/>
    </row>
    <row r="119" spans="2:5" x14ac:dyDescent="0.25">
      <c r="B119" s="23" t="s">
        <v>109</v>
      </c>
      <c r="C119" s="27" t="s">
        <v>110</v>
      </c>
      <c r="D119" s="24"/>
      <c r="E119" s="25"/>
    </row>
    <row r="120" spans="2:5" x14ac:dyDescent="0.25">
      <c r="B120" s="23"/>
      <c r="C120" s="27"/>
      <c r="D120" s="24"/>
      <c r="E120" s="25"/>
    </row>
    <row r="121" spans="2:5" x14ac:dyDescent="0.25">
      <c r="B121" s="28"/>
      <c r="C121" s="64" t="s">
        <v>111</v>
      </c>
      <c r="D121" s="29"/>
      <c r="E121" s="30">
        <f>E119-E117</f>
        <v>0</v>
      </c>
    </row>
    <row r="122" spans="2:5" x14ac:dyDescent="0.25">
      <c r="B122" s="2"/>
      <c r="C122" s="2"/>
      <c r="D122" s="2"/>
      <c r="E122" s="10"/>
    </row>
    <row r="123" spans="2:5" x14ac:dyDescent="0.25">
      <c r="B123" s="494" t="s">
        <v>112</v>
      </c>
      <c r="C123" s="494"/>
      <c r="D123" s="494"/>
      <c r="E123" s="494"/>
    </row>
    <row r="124" spans="2:5" x14ac:dyDescent="0.25">
      <c r="B124" s="500" t="s">
        <v>113</v>
      </c>
      <c r="C124" s="500"/>
      <c r="D124" s="500"/>
      <c r="E124" s="6" t="s">
        <v>24</v>
      </c>
    </row>
    <row r="125" spans="2:5" x14ac:dyDescent="0.25">
      <c r="B125" s="3" t="s">
        <v>3</v>
      </c>
      <c r="C125" s="507" t="s">
        <v>21</v>
      </c>
      <c r="D125" s="507"/>
      <c r="E125" s="66">
        <f>E31</f>
        <v>4485.6693818181811</v>
      </c>
    </row>
    <row r="126" spans="2:5" x14ac:dyDescent="0.25">
      <c r="B126" s="3" t="s">
        <v>5</v>
      </c>
      <c r="C126" s="507" t="s">
        <v>34</v>
      </c>
      <c r="D126" s="507"/>
      <c r="E126" s="66">
        <f>E65</f>
        <v>3512.05</v>
      </c>
    </row>
    <row r="127" spans="2:5" x14ac:dyDescent="0.25">
      <c r="B127" s="3" t="s">
        <v>7</v>
      </c>
      <c r="C127" s="507" t="s">
        <v>62</v>
      </c>
      <c r="D127" s="507"/>
      <c r="E127" s="66">
        <f>E74</f>
        <v>182.30999999999997</v>
      </c>
    </row>
    <row r="128" spans="2:5" x14ac:dyDescent="0.25">
      <c r="B128" s="3" t="s">
        <v>9</v>
      </c>
      <c r="C128" s="507" t="s">
        <v>70</v>
      </c>
      <c r="D128" s="507"/>
      <c r="E128" s="66">
        <f>E94</f>
        <v>82.618296756363648</v>
      </c>
    </row>
    <row r="129" spans="2:6" x14ac:dyDescent="0.25">
      <c r="B129" s="3" t="s">
        <v>29</v>
      </c>
      <c r="C129" s="507" t="s">
        <v>89</v>
      </c>
      <c r="D129" s="507"/>
      <c r="E129" s="66">
        <f>E102</f>
        <v>99.394312169312158</v>
      </c>
    </row>
    <row r="130" spans="2:6" x14ac:dyDescent="0.25">
      <c r="B130" s="6"/>
      <c r="C130" s="500" t="s">
        <v>114</v>
      </c>
      <c r="D130" s="500"/>
      <c r="E130" s="67">
        <f>SUM(E125:E129)</f>
        <v>8362.0419907438572</v>
      </c>
    </row>
    <row r="131" spans="2:6" x14ac:dyDescent="0.25">
      <c r="B131" s="3" t="s">
        <v>31</v>
      </c>
      <c r="C131" s="507" t="s">
        <v>93</v>
      </c>
      <c r="D131" s="507"/>
      <c r="E131" s="66">
        <f>E112</f>
        <v>878.37999999999988</v>
      </c>
    </row>
    <row r="132" spans="2:6" ht="18.75" x14ac:dyDescent="0.25">
      <c r="B132" s="508" t="s">
        <v>115</v>
      </c>
      <c r="C132" s="508"/>
      <c r="D132" s="508"/>
      <c r="E132" s="71">
        <f>TRUNC(E130+E131,2)</f>
        <v>9240.42</v>
      </c>
      <c r="F132">
        <f>E132/E31</f>
        <v>2.0599868633774725</v>
      </c>
    </row>
    <row r="133" spans="2:6" x14ac:dyDescent="0.25">
      <c r="B133" s="31"/>
      <c r="C133" s="31"/>
      <c r="D133" s="31"/>
      <c r="E133" s="32"/>
    </row>
    <row r="134" spans="2:6" x14ac:dyDescent="0.25">
      <c r="B134" s="31"/>
      <c r="C134" s="31"/>
      <c r="D134" s="31"/>
      <c r="E134" s="31"/>
    </row>
    <row r="135" spans="2:6" x14ac:dyDescent="0.25">
      <c r="B135" s="33"/>
      <c r="C135" s="34"/>
      <c r="D135" s="31"/>
      <c r="E135" s="31"/>
    </row>
    <row r="136" spans="2:6" x14ac:dyDescent="0.25">
      <c r="B136" s="35"/>
      <c r="C136" s="35"/>
    </row>
    <row r="137" spans="2:6" x14ac:dyDescent="0.25">
      <c r="B137" s="36"/>
      <c r="C137" s="31"/>
    </row>
    <row r="138" spans="2:6" x14ac:dyDescent="0.25">
      <c r="B138" s="36"/>
      <c r="C138" s="31"/>
    </row>
  </sheetData>
  <mergeCells count="71">
    <mergeCell ref="B132:D132"/>
    <mergeCell ref="C126:D126"/>
    <mergeCell ref="C127:D127"/>
    <mergeCell ref="C128:D128"/>
    <mergeCell ref="C129:D129"/>
    <mergeCell ref="C130:D130"/>
    <mergeCell ref="C131:D131"/>
    <mergeCell ref="C125:D125"/>
    <mergeCell ref="C93:D93"/>
    <mergeCell ref="B94:D94"/>
    <mergeCell ref="B95:E95"/>
    <mergeCell ref="B96:E96"/>
    <mergeCell ref="B102:C102"/>
    <mergeCell ref="B103:E103"/>
    <mergeCell ref="B104:E104"/>
    <mergeCell ref="B112:C112"/>
    <mergeCell ref="C113:E113"/>
    <mergeCell ref="B123:E123"/>
    <mergeCell ref="B124:D124"/>
    <mergeCell ref="C92:D92"/>
    <mergeCell ref="B89:E89"/>
    <mergeCell ref="B90:E90"/>
    <mergeCell ref="B74:C74"/>
    <mergeCell ref="B75:E75"/>
    <mergeCell ref="B76:E76"/>
    <mergeCell ref="B77:C77"/>
    <mergeCell ref="B84:C84"/>
    <mergeCell ref="B91:D91"/>
    <mergeCell ref="B85:E85"/>
    <mergeCell ref="B86:C86"/>
    <mergeCell ref="B88:C88"/>
    <mergeCell ref="B67:E67"/>
    <mergeCell ref="B49:E49"/>
    <mergeCell ref="B50:C50"/>
    <mergeCell ref="B58:D58"/>
    <mergeCell ref="B59:E59"/>
    <mergeCell ref="B60:E60"/>
    <mergeCell ref="B61:D61"/>
    <mergeCell ref="C62:D62"/>
    <mergeCell ref="C63:D63"/>
    <mergeCell ref="C64:D64"/>
    <mergeCell ref="B65:D65"/>
    <mergeCell ref="B66:E66"/>
    <mergeCell ref="B48:C48"/>
    <mergeCell ref="D19:E19"/>
    <mergeCell ref="D20:E20"/>
    <mergeCell ref="D21:E21"/>
    <mergeCell ref="B22:E22"/>
    <mergeCell ref="B23:E23"/>
    <mergeCell ref="B31:D31"/>
    <mergeCell ref="B33:E33"/>
    <mergeCell ref="B34:C34"/>
    <mergeCell ref="B37:C37"/>
    <mergeCell ref="B38:E38"/>
    <mergeCell ref="B39:C39"/>
    <mergeCell ref="B1:E1"/>
    <mergeCell ref="B2:E2"/>
    <mergeCell ref="B3:E3"/>
    <mergeCell ref="B4:E4"/>
    <mergeCell ref="D18:E18"/>
    <mergeCell ref="B5:E5"/>
    <mergeCell ref="B6:E6"/>
    <mergeCell ref="D7:E7"/>
    <mergeCell ref="D8:E8"/>
    <mergeCell ref="D9:E9"/>
    <mergeCell ref="D10:E10"/>
    <mergeCell ref="B12:E12"/>
    <mergeCell ref="D13:E13"/>
    <mergeCell ref="D14:E14"/>
    <mergeCell ref="B16:E16"/>
    <mergeCell ref="D17:E17"/>
  </mergeCells>
  <pageMargins left="0.511811024" right="0.511811024" top="0.78740157499999996" bottom="0.78740157499999996" header="0.31496062000000002" footer="0.31496062000000002"/>
  <pageSetup paperSize="9" scale="73" fitToHeight="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0802C-117C-44EA-BADA-3E697D295D44}">
  <sheetPr>
    <pageSetUpPr fitToPage="1"/>
  </sheetPr>
  <dimension ref="B1:F138"/>
  <sheetViews>
    <sheetView topLeftCell="A43" workbookViewId="0">
      <selection activeCell="D55" sqref="D55"/>
    </sheetView>
  </sheetViews>
  <sheetFormatPr defaultRowHeight="15" x14ac:dyDescent="0.25"/>
  <cols>
    <col min="2" max="2" width="17.85546875" customWidth="1"/>
    <col min="3" max="3" width="57.85546875" customWidth="1"/>
    <col min="4" max="4" width="9.42578125" bestFit="1" customWidth="1"/>
    <col min="5" max="5" width="31.42578125" customWidth="1"/>
    <col min="6" max="6" width="10.140625" bestFit="1" customWidth="1"/>
  </cols>
  <sheetData>
    <row r="1" spans="2:5" x14ac:dyDescent="0.25">
      <c r="B1" s="516" t="s">
        <v>0</v>
      </c>
      <c r="C1" s="516"/>
      <c r="D1" s="516"/>
      <c r="E1" s="516"/>
    </row>
    <row r="2" spans="2:5" x14ac:dyDescent="0.25">
      <c r="B2" s="518"/>
      <c r="C2" s="518"/>
      <c r="D2" s="518"/>
      <c r="E2" s="518"/>
    </row>
    <row r="3" spans="2:5" x14ac:dyDescent="0.25">
      <c r="B3" s="518" t="s">
        <v>1</v>
      </c>
      <c r="C3" s="518"/>
      <c r="D3" s="518"/>
      <c r="E3" s="518"/>
    </row>
    <row r="4" spans="2:5" x14ac:dyDescent="0.25">
      <c r="B4" s="517" t="s">
        <v>116</v>
      </c>
      <c r="C4" s="517"/>
      <c r="D4" s="517"/>
      <c r="E4" s="517"/>
    </row>
    <row r="5" spans="2:5" x14ac:dyDescent="0.25">
      <c r="B5" s="493"/>
      <c r="C5" s="493"/>
      <c r="D5" s="493"/>
      <c r="E5" s="493"/>
    </row>
    <row r="6" spans="2:5" x14ac:dyDescent="0.25">
      <c r="B6" s="494" t="s">
        <v>2</v>
      </c>
      <c r="C6" s="494"/>
      <c r="D6" s="494"/>
      <c r="E6" s="494"/>
    </row>
    <row r="7" spans="2:5" x14ac:dyDescent="0.25">
      <c r="B7" s="3" t="s">
        <v>3</v>
      </c>
      <c r="C7" s="4" t="s">
        <v>4</v>
      </c>
      <c r="D7" s="495"/>
      <c r="E7" s="496"/>
    </row>
    <row r="8" spans="2:5" x14ac:dyDescent="0.25">
      <c r="B8" s="3" t="s">
        <v>5</v>
      </c>
      <c r="C8" s="4" t="s">
        <v>6</v>
      </c>
      <c r="D8" s="496"/>
      <c r="E8" s="496"/>
    </row>
    <row r="9" spans="2:5" x14ac:dyDescent="0.25">
      <c r="B9" s="3" t="s">
        <v>7</v>
      </c>
      <c r="C9" s="4" t="s">
        <v>8</v>
      </c>
      <c r="D9" s="497"/>
      <c r="E9" s="496"/>
    </row>
    <row r="10" spans="2:5" x14ac:dyDescent="0.25">
      <c r="B10" s="3" t="s">
        <v>9</v>
      </c>
      <c r="C10" s="4" t="s">
        <v>10</v>
      </c>
      <c r="D10" s="496"/>
      <c r="E10" s="496"/>
    </row>
    <row r="11" spans="2:5" x14ac:dyDescent="0.25">
      <c r="B11" s="2"/>
      <c r="C11" s="5"/>
      <c r="D11" s="2"/>
      <c r="E11" s="2"/>
    </row>
    <row r="12" spans="2:5" x14ac:dyDescent="0.25">
      <c r="B12" s="494" t="s">
        <v>11</v>
      </c>
      <c r="C12" s="494"/>
      <c r="D12" s="494"/>
      <c r="E12" s="494"/>
    </row>
    <row r="13" spans="2:5" x14ac:dyDescent="0.25">
      <c r="B13" s="60" t="s">
        <v>12</v>
      </c>
      <c r="C13" s="3" t="s">
        <v>13</v>
      </c>
      <c r="D13" s="496" t="s">
        <v>171</v>
      </c>
      <c r="E13" s="496"/>
    </row>
    <row r="14" spans="2:5" ht="38.25" x14ac:dyDescent="0.25">
      <c r="B14" s="65" t="s">
        <v>117</v>
      </c>
      <c r="C14" s="3" t="s">
        <v>14</v>
      </c>
      <c r="D14" s="496"/>
      <c r="E14" s="496"/>
    </row>
    <row r="15" spans="2:5" x14ac:dyDescent="0.25">
      <c r="B15" s="2"/>
      <c r="C15" s="5"/>
      <c r="D15" s="2"/>
      <c r="E15" s="2"/>
    </row>
    <row r="16" spans="2:5" x14ac:dyDescent="0.25">
      <c r="B16" s="494" t="s">
        <v>15</v>
      </c>
      <c r="C16" s="494"/>
      <c r="D16" s="494"/>
      <c r="E16" s="494"/>
    </row>
    <row r="17" spans="2:5" x14ac:dyDescent="0.25">
      <c r="B17" s="3">
        <v>1</v>
      </c>
      <c r="C17" s="4" t="s">
        <v>16</v>
      </c>
      <c r="D17" s="496"/>
      <c r="E17" s="496"/>
    </row>
    <row r="18" spans="2:5" x14ac:dyDescent="0.25">
      <c r="B18" s="3">
        <v>2</v>
      </c>
      <c r="C18" s="4" t="s">
        <v>17</v>
      </c>
      <c r="D18" s="496"/>
      <c r="E18" s="496"/>
    </row>
    <row r="19" spans="2:5" x14ac:dyDescent="0.25">
      <c r="B19" s="3">
        <v>3</v>
      </c>
      <c r="C19" s="4" t="s">
        <v>18</v>
      </c>
      <c r="D19" s="498"/>
      <c r="E19" s="496"/>
    </row>
    <row r="20" spans="2:5" x14ac:dyDescent="0.25">
      <c r="B20" s="3">
        <v>4</v>
      </c>
      <c r="C20" s="4" t="s">
        <v>19</v>
      </c>
      <c r="D20" s="496"/>
      <c r="E20" s="496"/>
    </row>
    <row r="21" spans="2:5" x14ac:dyDescent="0.25">
      <c r="B21" s="3">
        <v>5</v>
      </c>
      <c r="C21" s="4" t="s">
        <v>20</v>
      </c>
      <c r="D21" s="495"/>
      <c r="E21" s="496"/>
    </row>
    <row r="22" spans="2:5" x14ac:dyDescent="0.25">
      <c r="B22" s="503"/>
      <c r="C22" s="503"/>
      <c r="D22" s="503"/>
      <c r="E22" s="503"/>
    </row>
    <row r="23" spans="2:5" x14ac:dyDescent="0.25">
      <c r="B23" s="504" t="s">
        <v>21</v>
      </c>
      <c r="C23" s="504"/>
      <c r="D23" s="504"/>
      <c r="E23" s="504"/>
    </row>
    <row r="24" spans="2:5" x14ac:dyDescent="0.25">
      <c r="B24" s="6">
        <v>1</v>
      </c>
      <c r="C24" s="6" t="s">
        <v>22</v>
      </c>
      <c r="D24" s="6" t="s">
        <v>23</v>
      </c>
      <c r="E24" s="6" t="s">
        <v>24</v>
      </c>
    </row>
    <row r="25" spans="2:5" x14ac:dyDescent="0.25">
      <c r="B25" s="6" t="s">
        <v>3</v>
      </c>
      <c r="C25" s="4" t="s">
        <v>25</v>
      </c>
      <c r="D25" s="7"/>
      <c r="E25" s="66">
        <f>'Vigilante 12x36 Diurno'!E25</f>
        <v>2593.73</v>
      </c>
    </row>
    <row r="26" spans="2:5" x14ac:dyDescent="0.25">
      <c r="B26" s="6" t="s">
        <v>5</v>
      </c>
      <c r="C26" s="4" t="s">
        <v>26</v>
      </c>
      <c r="D26" s="8"/>
      <c r="E26" s="66">
        <f>E25*30%</f>
        <v>778.11900000000003</v>
      </c>
    </row>
    <row r="27" spans="2:5" x14ac:dyDescent="0.25">
      <c r="B27" s="6" t="s">
        <v>7</v>
      </c>
      <c r="C27" s="4" t="s">
        <v>27</v>
      </c>
      <c r="D27" s="8"/>
      <c r="E27" s="66">
        <v>0</v>
      </c>
    </row>
    <row r="28" spans="2:5" x14ac:dyDescent="0.25">
      <c r="B28" s="6" t="s">
        <v>9</v>
      </c>
      <c r="C28" s="4" t="s">
        <v>28</v>
      </c>
      <c r="D28" s="8"/>
      <c r="E28" s="66">
        <f>(E25+E26)/(220)*(20%)*(120)</f>
        <v>367.83807272727279</v>
      </c>
    </row>
    <row r="29" spans="2:5" x14ac:dyDescent="0.25">
      <c r="B29" s="6" t="s">
        <v>29</v>
      </c>
      <c r="C29" s="4" t="s">
        <v>30</v>
      </c>
      <c r="D29" s="9"/>
      <c r="E29" s="66">
        <v>0</v>
      </c>
    </row>
    <row r="30" spans="2:5" x14ac:dyDescent="0.25">
      <c r="B30" s="6" t="s">
        <v>31</v>
      </c>
      <c r="C30" s="4" t="s">
        <v>32</v>
      </c>
      <c r="D30" s="8"/>
      <c r="E30" s="66">
        <v>0</v>
      </c>
    </row>
    <row r="31" spans="2:5" x14ac:dyDescent="0.25">
      <c r="B31" s="500" t="s">
        <v>33</v>
      </c>
      <c r="C31" s="500"/>
      <c r="D31" s="500"/>
      <c r="E31" s="67">
        <f>SUM(E25:E30)</f>
        <v>3739.6870727272731</v>
      </c>
    </row>
    <row r="32" spans="2:5" x14ac:dyDescent="0.25">
      <c r="B32" s="1"/>
      <c r="C32" s="1"/>
      <c r="D32" s="1"/>
      <c r="E32" s="10"/>
    </row>
    <row r="33" spans="2:5" x14ac:dyDescent="0.25">
      <c r="B33" s="504" t="s">
        <v>34</v>
      </c>
      <c r="C33" s="504"/>
      <c r="D33" s="504"/>
      <c r="E33" s="504"/>
    </row>
    <row r="34" spans="2:5" x14ac:dyDescent="0.25">
      <c r="B34" s="499" t="s">
        <v>35</v>
      </c>
      <c r="C34" s="499"/>
      <c r="D34" s="11" t="s">
        <v>23</v>
      </c>
      <c r="E34" s="11" t="s">
        <v>24</v>
      </c>
    </row>
    <row r="35" spans="2:5" x14ac:dyDescent="0.25">
      <c r="B35" s="6" t="s">
        <v>3</v>
      </c>
      <c r="C35" s="4" t="s">
        <v>119</v>
      </c>
      <c r="D35" s="12">
        <f>'Supervisor 12x36 Noturno'!D35</f>
        <v>8.3299999999999999E-2</v>
      </c>
      <c r="E35" s="66">
        <f>TRUNC($E$31*D35,2)</f>
        <v>311.51</v>
      </c>
    </row>
    <row r="36" spans="2:5" x14ac:dyDescent="0.25">
      <c r="B36" s="6" t="s">
        <v>5</v>
      </c>
      <c r="C36" s="4" t="s">
        <v>120</v>
      </c>
      <c r="D36" s="13">
        <f>'Supervisor 12x36 Noturno'!D36</f>
        <v>0.121</v>
      </c>
      <c r="E36" s="66">
        <f>TRUNC($E$31*D36,2)</f>
        <v>452.5</v>
      </c>
    </row>
    <row r="37" spans="2:5" x14ac:dyDescent="0.25">
      <c r="B37" s="500" t="s">
        <v>36</v>
      </c>
      <c r="C37" s="500"/>
      <c r="D37" s="14">
        <f>SUM(D35:D36)</f>
        <v>0.20429999999999998</v>
      </c>
      <c r="E37" s="67">
        <f>SUM(E35:E36)</f>
        <v>764.01</v>
      </c>
    </row>
    <row r="38" spans="2:5" x14ac:dyDescent="0.25">
      <c r="B38" s="501"/>
      <c r="C38" s="502"/>
      <c r="D38" s="502"/>
      <c r="E38" s="502"/>
    </row>
    <row r="39" spans="2:5" x14ac:dyDescent="0.25">
      <c r="B39" s="499" t="s">
        <v>37</v>
      </c>
      <c r="C39" s="499"/>
      <c r="D39" s="11" t="s">
        <v>23</v>
      </c>
      <c r="E39" s="68" t="s">
        <v>24</v>
      </c>
    </row>
    <row r="40" spans="2:5" x14ac:dyDescent="0.25">
      <c r="B40" s="6" t="s">
        <v>3</v>
      </c>
      <c r="C40" s="4" t="s">
        <v>38</v>
      </c>
      <c r="D40" s="12">
        <f>'Supervisor 12x36 Noturno'!D40</f>
        <v>0.2</v>
      </c>
      <c r="E40" s="66">
        <f>TRUNC(($E$31+$E$37)*$D$40,2)</f>
        <v>900.73</v>
      </c>
    </row>
    <row r="41" spans="2:5" x14ac:dyDescent="0.25">
      <c r="B41" s="6" t="s">
        <v>5</v>
      </c>
      <c r="C41" s="4" t="s">
        <v>39</v>
      </c>
      <c r="D41" s="12">
        <f>'Supervisor 12x36 Noturno'!D41</f>
        <v>2.5000000000000001E-2</v>
      </c>
      <c r="E41" s="66">
        <f>TRUNC(($E$31+$E$37)*$D$41,2)</f>
        <v>112.59</v>
      </c>
    </row>
    <row r="42" spans="2:5" x14ac:dyDescent="0.25">
      <c r="B42" s="6" t="s">
        <v>7</v>
      </c>
      <c r="C42" s="4" t="s">
        <v>40</v>
      </c>
      <c r="D42" s="12">
        <f>'Supervisor 12x36 Noturno'!D42</f>
        <v>1.4999999999999999E-2</v>
      </c>
      <c r="E42" s="66">
        <f>TRUNC(($E$31+$E$37)*$D$42,2)</f>
        <v>67.55</v>
      </c>
    </row>
    <row r="43" spans="2:5" x14ac:dyDescent="0.25">
      <c r="B43" s="6" t="s">
        <v>9</v>
      </c>
      <c r="C43" s="4" t="s">
        <v>41</v>
      </c>
      <c r="D43" s="12">
        <f>'Supervisor 12x36 Noturno'!D43</f>
        <v>1.4999999999999999E-2</v>
      </c>
      <c r="E43" s="66">
        <f>TRUNC(($E$31+$E$37)*$D$43,2)</f>
        <v>67.55</v>
      </c>
    </row>
    <row r="44" spans="2:5" x14ac:dyDescent="0.25">
      <c r="B44" s="6" t="s">
        <v>29</v>
      </c>
      <c r="C44" s="4" t="s">
        <v>42</v>
      </c>
      <c r="D44" s="12">
        <f>'Supervisor 12x36 Noturno'!D44</f>
        <v>0.01</v>
      </c>
      <c r="E44" s="66">
        <f>TRUNC(($E$31+$E$37)*$D$44,2)</f>
        <v>45.03</v>
      </c>
    </row>
    <row r="45" spans="2:5" x14ac:dyDescent="0.25">
      <c r="B45" s="6" t="s">
        <v>31</v>
      </c>
      <c r="C45" s="4" t="s">
        <v>43</v>
      </c>
      <c r="D45" s="12">
        <f>'Supervisor 12x36 Noturno'!D45</f>
        <v>6.0000000000000001E-3</v>
      </c>
      <c r="E45" s="66">
        <f>TRUNC(($E$31+$E$37)*$D$45,2)</f>
        <v>27.02</v>
      </c>
    </row>
    <row r="46" spans="2:5" x14ac:dyDescent="0.25">
      <c r="B46" s="6" t="s">
        <v>44</v>
      </c>
      <c r="C46" s="4" t="s">
        <v>45</v>
      </c>
      <c r="D46" s="12">
        <f>'Supervisor 12x36 Noturno'!D46</f>
        <v>2E-3</v>
      </c>
      <c r="E46" s="66">
        <f>TRUNC(($E$31+$E$37)*$D$46,2)</f>
        <v>9</v>
      </c>
    </row>
    <row r="47" spans="2:5" x14ac:dyDescent="0.25">
      <c r="B47" s="6" t="s">
        <v>46</v>
      </c>
      <c r="C47" s="4" t="s">
        <v>47</v>
      </c>
      <c r="D47" s="12">
        <f>'Supervisor 12x36 Noturno'!D47</f>
        <v>0.08</v>
      </c>
      <c r="E47" s="66">
        <f>TRUNC(($E$31+$E$37)*$D$47,2)</f>
        <v>360.29</v>
      </c>
    </row>
    <row r="48" spans="2:5" x14ac:dyDescent="0.25">
      <c r="B48" s="500" t="s">
        <v>48</v>
      </c>
      <c r="C48" s="500"/>
      <c r="D48" s="14">
        <f>SUM(D40:D47)</f>
        <v>0.35300000000000004</v>
      </c>
      <c r="E48" s="67">
        <f>SUM(E40:E47)</f>
        <v>1589.76</v>
      </c>
    </row>
    <row r="49" spans="2:6" x14ac:dyDescent="0.25">
      <c r="B49" s="519"/>
      <c r="C49" s="519"/>
      <c r="D49" s="519"/>
      <c r="E49" s="520"/>
    </row>
    <row r="50" spans="2:6" x14ac:dyDescent="0.25">
      <c r="B50" s="499" t="s">
        <v>49</v>
      </c>
      <c r="C50" s="499"/>
      <c r="D50" s="16"/>
      <c r="E50" s="11" t="s">
        <v>24</v>
      </c>
    </row>
    <row r="51" spans="2:6" x14ac:dyDescent="0.25">
      <c r="B51" s="6" t="s">
        <v>3</v>
      </c>
      <c r="C51" s="7" t="s">
        <v>121</v>
      </c>
      <c r="D51" s="18">
        <f>'Supervisor 12x36 Noturno'!D51</f>
        <v>11</v>
      </c>
      <c r="E51" s="69">
        <f>TRUNC((5.5*2*15)-(6%*E25),2)</f>
        <v>9.3699999999999992</v>
      </c>
    </row>
    <row r="52" spans="2:6" x14ac:dyDescent="0.25">
      <c r="B52" s="6" t="s">
        <v>5</v>
      </c>
      <c r="C52" s="7" t="s">
        <v>125</v>
      </c>
      <c r="D52" s="18">
        <f>'Supervisor 12x36 Noturno'!D52</f>
        <v>44.216999999999999</v>
      </c>
      <c r="E52" s="69">
        <f>TRUNC(D52*15,2)</f>
        <v>663.25</v>
      </c>
      <c r="F52" s="38"/>
    </row>
    <row r="53" spans="2:6" x14ac:dyDescent="0.25">
      <c r="B53" s="6" t="s">
        <v>7</v>
      </c>
      <c r="C53" s="37" t="s">
        <v>122</v>
      </c>
      <c r="D53" s="3"/>
      <c r="E53" s="69" t="s">
        <v>50</v>
      </c>
    </row>
    <row r="54" spans="2:6" x14ac:dyDescent="0.25">
      <c r="B54" s="6" t="s">
        <v>9</v>
      </c>
      <c r="C54" s="7" t="s">
        <v>51</v>
      </c>
      <c r="D54" s="18">
        <f>'Vigilante 12x36 Diurno'!D54</f>
        <v>21.24</v>
      </c>
      <c r="E54" s="69">
        <f>D54</f>
        <v>21.24</v>
      </c>
    </row>
    <row r="55" spans="2:6" x14ac:dyDescent="0.25">
      <c r="B55" s="6" t="s">
        <v>29</v>
      </c>
      <c r="C55" s="37" t="s">
        <v>123</v>
      </c>
      <c r="D55" s="3"/>
      <c r="E55" s="69" t="s">
        <v>50</v>
      </c>
    </row>
    <row r="56" spans="2:6" x14ac:dyDescent="0.25">
      <c r="B56" s="6" t="s">
        <v>31</v>
      </c>
      <c r="C56" s="37" t="s">
        <v>124</v>
      </c>
      <c r="D56" s="3"/>
      <c r="E56" s="69">
        <v>0</v>
      </c>
    </row>
    <row r="57" spans="2:6" x14ac:dyDescent="0.25">
      <c r="B57" s="6" t="s">
        <v>44</v>
      </c>
      <c r="C57" s="7" t="s">
        <v>32</v>
      </c>
      <c r="D57" s="3"/>
      <c r="E57" s="69" t="s">
        <v>50</v>
      </c>
    </row>
    <row r="58" spans="2:6" x14ac:dyDescent="0.25">
      <c r="B58" s="500" t="s">
        <v>52</v>
      </c>
      <c r="C58" s="500"/>
      <c r="D58" s="500"/>
      <c r="E58" s="67">
        <f>SUM(E51:E57)</f>
        <v>693.86</v>
      </c>
    </row>
    <row r="59" spans="2:6" x14ac:dyDescent="0.25">
      <c r="B59" s="519"/>
      <c r="C59" s="519"/>
      <c r="D59" s="519"/>
      <c r="E59" s="520"/>
    </row>
    <row r="60" spans="2:6" x14ac:dyDescent="0.25">
      <c r="B60" s="494" t="s">
        <v>53</v>
      </c>
      <c r="C60" s="494"/>
      <c r="D60" s="494"/>
      <c r="E60" s="494"/>
    </row>
    <row r="61" spans="2:6" x14ac:dyDescent="0.25">
      <c r="B61" s="500" t="s">
        <v>54</v>
      </c>
      <c r="C61" s="500"/>
      <c r="D61" s="500"/>
      <c r="E61" s="6" t="s">
        <v>24</v>
      </c>
    </row>
    <row r="62" spans="2:6" x14ac:dyDescent="0.25">
      <c r="B62" s="6" t="s">
        <v>55</v>
      </c>
      <c r="C62" s="507" t="s">
        <v>56</v>
      </c>
      <c r="D62" s="507"/>
      <c r="E62" s="66">
        <f>E37</f>
        <v>764.01</v>
      </c>
    </row>
    <row r="63" spans="2:6" x14ac:dyDescent="0.25">
      <c r="B63" s="6" t="s">
        <v>57</v>
      </c>
      <c r="C63" s="507" t="s">
        <v>58</v>
      </c>
      <c r="D63" s="507"/>
      <c r="E63" s="66">
        <f>E48</f>
        <v>1589.76</v>
      </c>
    </row>
    <row r="64" spans="2:6" x14ac:dyDescent="0.25">
      <c r="B64" s="6" t="s">
        <v>59</v>
      </c>
      <c r="C64" s="507" t="s">
        <v>60</v>
      </c>
      <c r="D64" s="507"/>
      <c r="E64" s="66">
        <f>E58</f>
        <v>693.86</v>
      </c>
    </row>
    <row r="65" spans="2:5" x14ac:dyDescent="0.25">
      <c r="B65" s="500" t="s">
        <v>61</v>
      </c>
      <c r="C65" s="500"/>
      <c r="D65" s="500"/>
      <c r="E65" s="67">
        <f>SUM(E62:E64)</f>
        <v>3047.63</v>
      </c>
    </row>
    <row r="66" spans="2:5" x14ac:dyDescent="0.25">
      <c r="B66" s="509"/>
      <c r="C66" s="510"/>
      <c r="D66" s="510"/>
      <c r="E66" s="510"/>
    </row>
    <row r="67" spans="2:5" x14ac:dyDescent="0.25">
      <c r="B67" s="504" t="s">
        <v>62</v>
      </c>
      <c r="C67" s="504"/>
      <c r="D67" s="504"/>
      <c r="E67" s="504"/>
    </row>
    <row r="68" spans="2:5" x14ac:dyDescent="0.25">
      <c r="B68" s="6">
        <v>3</v>
      </c>
      <c r="C68" s="6" t="s">
        <v>63</v>
      </c>
      <c r="D68" s="6" t="s">
        <v>23</v>
      </c>
      <c r="E68" s="6" t="s">
        <v>24</v>
      </c>
    </row>
    <row r="69" spans="2:5" x14ac:dyDescent="0.25">
      <c r="B69" s="6" t="s">
        <v>3</v>
      </c>
      <c r="C69" s="4" t="s">
        <v>64</v>
      </c>
      <c r="D69" s="12">
        <f>'Supervisor 12x36 Noturno'!D69</f>
        <v>4.0000000000000002E-4</v>
      </c>
      <c r="E69" s="66">
        <f>TRUNC(D69*$E$31,2)</f>
        <v>1.49</v>
      </c>
    </row>
    <row r="70" spans="2:5" x14ac:dyDescent="0.25">
      <c r="B70" s="6" t="s">
        <v>5</v>
      </c>
      <c r="C70" s="4" t="s">
        <v>65</v>
      </c>
      <c r="D70" s="12">
        <f>'Supervisor 12x36 Noturno'!D70</f>
        <v>3.2000000000000005E-5</v>
      </c>
      <c r="E70" s="66">
        <f>TRUNC(D70*$E$31,2)</f>
        <v>0.11</v>
      </c>
    </row>
    <row r="71" spans="2:5" x14ac:dyDescent="0.25">
      <c r="B71" s="6" t="s">
        <v>7</v>
      </c>
      <c r="C71" s="4" t="s">
        <v>66</v>
      </c>
      <c r="D71" s="12">
        <f>'Supervisor 12x36 Noturno'!D71</f>
        <v>2.0000000000000001E-4</v>
      </c>
      <c r="E71" s="66">
        <f t="shared" ref="E71:E72" si="0">TRUNC(D71*$E$31,2)</f>
        <v>0.74</v>
      </c>
    </row>
    <row r="72" spans="2:5" x14ac:dyDescent="0.25">
      <c r="B72" s="6" t="s">
        <v>9</v>
      </c>
      <c r="C72" s="4" t="s">
        <v>67</v>
      </c>
      <c r="D72" s="155">
        <f>'Supervisor 12x36 Noturno'!D72</f>
        <v>1.6000000000000003E-5</v>
      </c>
      <c r="E72" s="66">
        <f t="shared" si="0"/>
        <v>0.05</v>
      </c>
    </row>
    <row r="73" spans="2:5" ht="25.5" customHeight="1" x14ac:dyDescent="0.25">
      <c r="B73" s="6" t="s">
        <v>29</v>
      </c>
      <c r="C73" s="61" t="s">
        <v>68</v>
      </c>
      <c r="D73" s="12">
        <f>'Supervisor 12x36 Noturno'!D73</f>
        <v>0.04</v>
      </c>
      <c r="E73" s="66">
        <f>TRUNC(D73*$E$31,2)</f>
        <v>149.58000000000001</v>
      </c>
    </row>
    <row r="74" spans="2:5" x14ac:dyDescent="0.25">
      <c r="B74" s="500" t="s">
        <v>69</v>
      </c>
      <c r="C74" s="500"/>
      <c r="D74" s="14">
        <f>SUM(D69:D73)</f>
        <v>4.0648000000000004E-2</v>
      </c>
      <c r="E74" s="67">
        <f>SUM(E69:E73)</f>
        <v>151.97</v>
      </c>
    </row>
    <row r="75" spans="2:5" x14ac:dyDescent="0.25">
      <c r="B75" s="514"/>
      <c r="C75" s="515"/>
      <c r="D75" s="515"/>
      <c r="E75" s="515"/>
    </row>
    <row r="76" spans="2:5" x14ac:dyDescent="0.25">
      <c r="B76" s="504" t="s">
        <v>70</v>
      </c>
      <c r="C76" s="504"/>
      <c r="D76" s="504"/>
      <c r="E76" s="504"/>
    </row>
    <row r="77" spans="2:5" x14ac:dyDescent="0.25">
      <c r="B77" s="500" t="s">
        <v>71</v>
      </c>
      <c r="C77" s="500"/>
      <c r="D77" s="6" t="s">
        <v>23</v>
      </c>
      <c r="E77" s="6" t="s">
        <v>24</v>
      </c>
    </row>
    <row r="78" spans="2:5" ht="15" customHeight="1" x14ac:dyDescent="0.25">
      <c r="B78" s="6" t="s">
        <v>3</v>
      </c>
      <c r="C78" s="4" t="s">
        <v>72</v>
      </c>
      <c r="D78" s="12">
        <f>'Supervisor 12x36 Noturno'!D78</f>
        <v>9.7000000000000003E-3</v>
      </c>
      <c r="E78" s="66">
        <f>(E$125+E$126+E$127)*D78</f>
        <v>67.311084605454553</v>
      </c>
    </row>
    <row r="79" spans="2:5" x14ac:dyDescent="0.25">
      <c r="B79" s="6" t="s">
        <v>5</v>
      </c>
      <c r="C79" s="4" t="s">
        <v>73</v>
      </c>
      <c r="D79" s="12">
        <f>'Supervisor 12x36 Noturno'!D79</f>
        <v>1E-4</v>
      </c>
      <c r="E79" s="66">
        <f>(E$125+E$126+E$127)*D79</f>
        <v>0.69392870727272737</v>
      </c>
    </row>
    <row r="80" spans="2:5" x14ac:dyDescent="0.25">
      <c r="B80" s="6" t="s">
        <v>7</v>
      </c>
      <c r="C80" s="4" t="s">
        <v>74</v>
      </c>
      <c r="D80" s="12">
        <f>'Supervisor 12x36 Noturno'!D80</f>
        <v>1E-4</v>
      </c>
      <c r="E80" s="66">
        <f>(E$125+E$126+E$127)*D80</f>
        <v>0.69392870727272737</v>
      </c>
    </row>
    <row r="81" spans="2:5" x14ac:dyDescent="0.25">
      <c r="B81" s="6" t="s">
        <v>9</v>
      </c>
      <c r="C81" s="4" t="s">
        <v>75</v>
      </c>
      <c r="D81" s="12">
        <f>'Supervisor 12x36 Noturno'!D81</f>
        <v>1E-4</v>
      </c>
      <c r="E81" s="66">
        <f>(E$125+E$126+E$127)*D81</f>
        <v>0.69392870727272737</v>
      </c>
    </row>
    <row r="82" spans="2:5" x14ac:dyDescent="0.25">
      <c r="B82" s="6" t="s">
        <v>29</v>
      </c>
      <c r="C82" s="4" t="s">
        <v>76</v>
      </c>
      <c r="D82" s="12">
        <f>'Supervisor 12x36 Noturno'!D82</f>
        <v>1E-4</v>
      </c>
      <c r="E82" s="66">
        <f>(E$125+E$126+E$127)*D82</f>
        <v>0.69392870727272737</v>
      </c>
    </row>
    <row r="83" spans="2:5" x14ac:dyDescent="0.25">
      <c r="B83" s="6" t="s">
        <v>31</v>
      </c>
      <c r="C83" s="4" t="s">
        <v>77</v>
      </c>
      <c r="D83" s="12"/>
      <c r="E83" s="66">
        <f t="shared" ref="E83" si="1">TRUNC(($E$31)*D83,2)</f>
        <v>0</v>
      </c>
    </row>
    <row r="84" spans="2:5" x14ac:dyDescent="0.25">
      <c r="B84" s="500" t="s">
        <v>78</v>
      </c>
      <c r="C84" s="500"/>
      <c r="D84" s="14">
        <f>SUM(D78:D83)</f>
        <v>1.0099999999999998E-2</v>
      </c>
      <c r="E84" s="67">
        <f>SUM(E78:E83)</f>
        <v>70.086799434545483</v>
      </c>
    </row>
    <row r="85" spans="2:5" x14ac:dyDescent="0.25">
      <c r="B85" s="505"/>
      <c r="C85" s="506"/>
      <c r="D85" s="506"/>
      <c r="E85" s="506"/>
    </row>
    <row r="86" spans="2:5" x14ac:dyDescent="0.25">
      <c r="B86" s="500" t="s">
        <v>79</v>
      </c>
      <c r="C86" s="500"/>
      <c r="D86" s="6" t="s">
        <v>23</v>
      </c>
      <c r="E86" s="6" t="s">
        <v>24</v>
      </c>
    </row>
    <row r="87" spans="2:5" x14ac:dyDescent="0.25">
      <c r="B87" s="6" t="s">
        <v>3</v>
      </c>
      <c r="C87" s="61" t="s">
        <v>80</v>
      </c>
      <c r="D87" s="12">
        <v>0</v>
      </c>
      <c r="E87" s="66">
        <v>0</v>
      </c>
    </row>
    <row r="88" spans="2:5" x14ac:dyDescent="0.25">
      <c r="B88" s="500" t="s">
        <v>81</v>
      </c>
      <c r="C88" s="500"/>
      <c r="D88" s="14">
        <v>0</v>
      </c>
      <c r="E88" s="67">
        <v>0</v>
      </c>
    </row>
    <row r="89" spans="2:5" x14ac:dyDescent="0.25">
      <c r="B89" s="511"/>
      <c r="C89" s="512"/>
      <c r="D89" s="512"/>
      <c r="E89" s="512"/>
    </row>
    <row r="90" spans="2:5" x14ac:dyDescent="0.25">
      <c r="B90" s="494" t="s">
        <v>82</v>
      </c>
      <c r="C90" s="494"/>
      <c r="D90" s="494"/>
      <c r="E90" s="494"/>
    </row>
    <row r="91" spans="2:5" x14ac:dyDescent="0.25">
      <c r="B91" s="500" t="s">
        <v>83</v>
      </c>
      <c r="C91" s="500"/>
      <c r="D91" s="500"/>
      <c r="E91" s="6" t="s">
        <v>24</v>
      </c>
    </row>
    <row r="92" spans="2:5" x14ac:dyDescent="0.25">
      <c r="B92" s="6" t="s">
        <v>84</v>
      </c>
      <c r="C92" s="507" t="s">
        <v>85</v>
      </c>
      <c r="D92" s="507"/>
      <c r="E92" s="66">
        <f>E84</f>
        <v>70.086799434545483</v>
      </c>
    </row>
    <row r="93" spans="2:5" x14ac:dyDescent="0.25">
      <c r="B93" s="6" t="s">
        <v>86</v>
      </c>
      <c r="C93" s="507" t="s">
        <v>87</v>
      </c>
      <c r="D93" s="507"/>
      <c r="E93" s="66">
        <f>E88</f>
        <v>0</v>
      </c>
    </row>
    <row r="94" spans="2:5" x14ac:dyDescent="0.25">
      <c r="B94" s="500" t="s">
        <v>88</v>
      </c>
      <c r="C94" s="500"/>
      <c r="D94" s="500"/>
      <c r="E94" s="67">
        <f>SUM(E92:E93)</f>
        <v>70.086799434545483</v>
      </c>
    </row>
    <row r="95" spans="2:5" x14ac:dyDescent="0.25">
      <c r="B95" s="509"/>
      <c r="C95" s="510"/>
      <c r="D95" s="510"/>
      <c r="E95" s="510"/>
    </row>
    <row r="96" spans="2:5" x14ac:dyDescent="0.25">
      <c r="B96" s="504" t="s">
        <v>89</v>
      </c>
      <c r="C96" s="504"/>
      <c r="D96" s="504"/>
      <c r="E96" s="504"/>
    </row>
    <row r="97" spans="2:5" x14ac:dyDescent="0.25">
      <c r="B97" s="6">
        <v>5</v>
      </c>
      <c r="C97" s="6" t="s">
        <v>90</v>
      </c>
      <c r="D97" s="6"/>
      <c r="E97" s="6" t="s">
        <v>24</v>
      </c>
    </row>
    <row r="98" spans="2:5" x14ac:dyDescent="0.25">
      <c r="B98" s="6" t="s">
        <v>3</v>
      </c>
      <c r="C98" s="7" t="s">
        <v>91</v>
      </c>
      <c r="D98" s="12"/>
      <c r="E98" s="66">
        <f>Uniforme!G15</f>
        <v>52.500000000000007</v>
      </c>
    </row>
    <row r="99" spans="2:5" x14ac:dyDescent="0.25">
      <c r="B99" s="6" t="s">
        <v>5</v>
      </c>
      <c r="C99" s="59" t="s">
        <v>169</v>
      </c>
      <c r="D99" s="12"/>
      <c r="E99" s="66">
        <f>Materiais!F22</f>
        <v>13.00079365079365</v>
      </c>
    </row>
    <row r="100" spans="2:5" x14ac:dyDescent="0.25">
      <c r="B100" s="15" t="s">
        <v>7</v>
      </c>
      <c r="C100" s="59" t="s">
        <v>170</v>
      </c>
      <c r="D100" s="3"/>
      <c r="E100" s="66">
        <f>Equipamentos!G12</f>
        <v>7.0185185185185182</v>
      </c>
    </row>
    <row r="101" spans="2:5" x14ac:dyDescent="0.25">
      <c r="B101" s="15" t="s">
        <v>9</v>
      </c>
      <c r="C101" s="59" t="s">
        <v>32</v>
      </c>
      <c r="D101" s="3"/>
      <c r="E101" s="66"/>
    </row>
    <row r="102" spans="2:5" x14ac:dyDescent="0.25">
      <c r="B102" s="500" t="s">
        <v>92</v>
      </c>
      <c r="C102" s="500"/>
      <c r="D102" s="14"/>
      <c r="E102" s="67">
        <f>SUM(E98:E101)</f>
        <v>72.519312169312173</v>
      </c>
    </row>
    <row r="103" spans="2:5" x14ac:dyDescent="0.25">
      <c r="B103" s="509"/>
      <c r="C103" s="510"/>
      <c r="D103" s="510"/>
      <c r="E103" s="510"/>
    </row>
    <row r="104" spans="2:5" x14ac:dyDescent="0.25">
      <c r="B104" s="504" t="s">
        <v>93</v>
      </c>
      <c r="C104" s="504"/>
      <c r="D104" s="504"/>
      <c r="E104" s="504"/>
    </row>
    <row r="105" spans="2:5" x14ac:dyDescent="0.25">
      <c r="B105" s="6">
        <v>6</v>
      </c>
      <c r="C105" s="6" t="s">
        <v>94</v>
      </c>
      <c r="D105" s="6" t="s">
        <v>23</v>
      </c>
      <c r="E105" s="6" t="s">
        <v>24</v>
      </c>
    </row>
    <row r="106" spans="2:5" x14ac:dyDescent="0.25">
      <c r="B106" s="6" t="s">
        <v>3</v>
      </c>
      <c r="C106" s="4" t="s">
        <v>95</v>
      </c>
      <c r="D106" s="17">
        <f>'Supervisor 12x36 Noturno'!D106</f>
        <v>5.0000000000000001E-3</v>
      </c>
      <c r="E106" s="66">
        <f>TRUNC(((E130)*D106),2)</f>
        <v>35.4</v>
      </c>
    </row>
    <row r="107" spans="2:5" x14ac:dyDescent="0.25">
      <c r="B107" s="6" t="s">
        <v>5</v>
      </c>
      <c r="C107" s="4" t="s">
        <v>96</v>
      </c>
      <c r="D107" s="17">
        <f>'Supervisor 12x36 Noturno'!D107</f>
        <v>4.4365999999999997E-3</v>
      </c>
      <c r="E107" s="66">
        <f>TRUNC(((E130+E106)*D107),2)</f>
        <v>31.57</v>
      </c>
    </row>
    <row r="108" spans="2:5" x14ac:dyDescent="0.25">
      <c r="B108" s="6" t="s">
        <v>7</v>
      </c>
      <c r="C108" s="62" t="s">
        <v>97</v>
      </c>
      <c r="D108" s="8"/>
      <c r="E108" s="70"/>
    </row>
    <row r="109" spans="2:5" x14ac:dyDescent="0.25">
      <c r="B109" s="6" t="s">
        <v>98</v>
      </c>
      <c r="C109" s="4" t="s">
        <v>99</v>
      </c>
      <c r="D109" s="19">
        <f>'Supervisor 12x36 Noturno'!D109</f>
        <v>0.03</v>
      </c>
      <c r="E109" s="66">
        <f>TRUNC(D109*((E130+E106+E107)/(1-D114)),2)</f>
        <v>234.77</v>
      </c>
    </row>
    <row r="110" spans="2:5" x14ac:dyDescent="0.25">
      <c r="B110" s="6" t="s">
        <v>100</v>
      </c>
      <c r="C110" s="4" t="s">
        <v>101</v>
      </c>
      <c r="D110" s="19">
        <f>'Supervisor 12x36 Noturno'!D110</f>
        <v>6.4999999999999997E-3</v>
      </c>
      <c r="E110" s="66">
        <f>TRUNC(D110*(E130+E106+E107)/(1-D114),2)</f>
        <v>50.86</v>
      </c>
    </row>
    <row r="111" spans="2:5" x14ac:dyDescent="0.25">
      <c r="B111" s="6" t="s">
        <v>102</v>
      </c>
      <c r="C111" s="4" t="s">
        <v>103</v>
      </c>
      <c r="D111" s="19">
        <f>'Supervisor 12x36 Noturno'!D111</f>
        <v>0.05</v>
      </c>
      <c r="E111" s="66">
        <f>TRUNC(D111*(E130+E106+E107)/(1-D114),2)</f>
        <v>391.28</v>
      </c>
    </row>
    <row r="112" spans="2:5" x14ac:dyDescent="0.25">
      <c r="B112" s="500" t="s">
        <v>104</v>
      </c>
      <c r="C112" s="500"/>
      <c r="D112" s="19">
        <f>SUM(D106:D111)</f>
        <v>9.5936600000000011E-2</v>
      </c>
      <c r="E112" s="67">
        <f>SUM(E106:E111)</f>
        <v>743.88</v>
      </c>
    </row>
    <row r="113" spans="2:5" x14ac:dyDescent="0.25">
      <c r="B113" s="2"/>
      <c r="C113" s="513"/>
      <c r="D113" s="513"/>
      <c r="E113" s="513"/>
    </row>
    <row r="114" spans="2:5" x14ac:dyDescent="0.25">
      <c r="B114" s="20" t="s">
        <v>105</v>
      </c>
      <c r="C114" s="63" t="s">
        <v>106</v>
      </c>
      <c r="D114" s="21">
        <f>D109+D110+D111</f>
        <v>8.6499999999999994E-2</v>
      </c>
      <c r="E114" s="22"/>
    </row>
    <row r="115" spans="2:5" x14ac:dyDescent="0.25">
      <c r="B115" s="23"/>
      <c r="C115" s="27">
        <v>100</v>
      </c>
      <c r="D115" s="24"/>
      <c r="E115" s="25"/>
    </row>
    <row r="116" spans="2:5" x14ac:dyDescent="0.25">
      <c r="B116" s="26"/>
      <c r="C116" s="27"/>
      <c r="D116" s="24"/>
      <c r="E116" s="25"/>
    </row>
    <row r="117" spans="2:5" x14ac:dyDescent="0.25">
      <c r="B117" s="23" t="s">
        <v>107</v>
      </c>
      <c r="C117" s="27" t="s">
        <v>108</v>
      </c>
      <c r="D117" s="24"/>
      <c r="E117" s="25">
        <f>E31+E65+E74+E94+E102+E106+E107</f>
        <v>7148.8631843311305</v>
      </c>
    </row>
    <row r="118" spans="2:5" x14ac:dyDescent="0.25">
      <c r="B118" s="23"/>
      <c r="C118" s="27"/>
      <c r="D118" s="24"/>
      <c r="E118" s="25"/>
    </row>
    <row r="119" spans="2:5" x14ac:dyDescent="0.25">
      <c r="B119" s="23" t="s">
        <v>109</v>
      </c>
      <c r="C119" s="27" t="s">
        <v>110</v>
      </c>
      <c r="D119" s="24"/>
      <c r="E119" s="25">
        <f>TRUNC(E117/(1-D114),2)</f>
        <v>7825.79</v>
      </c>
    </row>
    <row r="120" spans="2:5" x14ac:dyDescent="0.25">
      <c r="B120" s="23"/>
      <c r="C120" s="27"/>
      <c r="D120" s="24"/>
      <c r="E120" s="25"/>
    </row>
    <row r="121" spans="2:5" x14ac:dyDescent="0.25">
      <c r="B121" s="28"/>
      <c r="C121" s="64" t="s">
        <v>111</v>
      </c>
      <c r="D121" s="29"/>
      <c r="E121" s="30">
        <f>E119-E117</f>
        <v>676.92681566886949</v>
      </c>
    </row>
    <row r="122" spans="2:5" x14ac:dyDescent="0.25">
      <c r="B122" s="2"/>
      <c r="C122" s="2"/>
      <c r="D122" s="2"/>
      <c r="E122" s="10"/>
    </row>
    <row r="123" spans="2:5" x14ac:dyDescent="0.25">
      <c r="B123" s="494" t="s">
        <v>112</v>
      </c>
      <c r="C123" s="494"/>
      <c r="D123" s="494"/>
      <c r="E123" s="494"/>
    </row>
    <row r="124" spans="2:5" x14ac:dyDescent="0.25">
      <c r="B124" s="500" t="s">
        <v>113</v>
      </c>
      <c r="C124" s="500"/>
      <c r="D124" s="500"/>
      <c r="E124" s="6" t="s">
        <v>24</v>
      </c>
    </row>
    <row r="125" spans="2:5" x14ac:dyDescent="0.25">
      <c r="B125" s="3" t="s">
        <v>3</v>
      </c>
      <c r="C125" s="507" t="s">
        <v>21</v>
      </c>
      <c r="D125" s="507"/>
      <c r="E125" s="66">
        <f>E31</f>
        <v>3739.6870727272731</v>
      </c>
    </row>
    <row r="126" spans="2:5" x14ac:dyDescent="0.25">
      <c r="B126" s="3" t="s">
        <v>5</v>
      </c>
      <c r="C126" s="507" t="s">
        <v>34</v>
      </c>
      <c r="D126" s="507"/>
      <c r="E126" s="66">
        <f>E65</f>
        <v>3047.63</v>
      </c>
    </row>
    <row r="127" spans="2:5" x14ac:dyDescent="0.25">
      <c r="B127" s="3" t="s">
        <v>7</v>
      </c>
      <c r="C127" s="507" t="s">
        <v>62</v>
      </c>
      <c r="D127" s="507"/>
      <c r="E127" s="66">
        <f>E74</f>
        <v>151.97</v>
      </c>
    </row>
    <row r="128" spans="2:5" x14ac:dyDescent="0.25">
      <c r="B128" s="3" t="s">
        <v>9</v>
      </c>
      <c r="C128" s="507" t="s">
        <v>70</v>
      </c>
      <c r="D128" s="507"/>
      <c r="E128" s="66">
        <f>E94</f>
        <v>70.086799434545483</v>
      </c>
    </row>
    <row r="129" spans="2:6" x14ac:dyDescent="0.25">
      <c r="B129" s="3" t="s">
        <v>29</v>
      </c>
      <c r="C129" s="507" t="s">
        <v>89</v>
      </c>
      <c r="D129" s="507"/>
      <c r="E129" s="66">
        <f>E102</f>
        <v>72.519312169312173</v>
      </c>
    </row>
    <row r="130" spans="2:6" x14ac:dyDescent="0.25">
      <c r="B130" s="6"/>
      <c r="C130" s="500" t="s">
        <v>114</v>
      </c>
      <c r="D130" s="500"/>
      <c r="E130" s="67">
        <f>SUM(E125:E129)</f>
        <v>7081.8931843311311</v>
      </c>
    </row>
    <row r="131" spans="2:6" x14ac:dyDescent="0.25">
      <c r="B131" s="3" t="s">
        <v>31</v>
      </c>
      <c r="C131" s="507" t="s">
        <v>93</v>
      </c>
      <c r="D131" s="507"/>
      <c r="E131" s="66">
        <f>E112</f>
        <v>743.88</v>
      </c>
    </row>
    <row r="132" spans="2:6" ht="18.75" x14ac:dyDescent="0.25">
      <c r="B132" s="508" t="s">
        <v>115</v>
      </c>
      <c r="C132" s="508"/>
      <c r="D132" s="508"/>
      <c r="E132" s="71">
        <f>TRUNC(E130+E131,2)</f>
        <v>7825.77</v>
      </c>
      <c r="F132">
        <f>E132/E31</f>
        <v>2.0926269625797422</v>
      </c>
    </row>
    <row r="133" spans="2:6" x14ac:dyDescent="0.25">
      <c r="B133" s="31"/>
      <c r="C133" s="31"/>
      <c r="D133" s="31"/>
      <c r="E133" s="32">
        <f>'[2]Planilha de Custos'!$E$126</f>
        <v>7858.54</v>
      </c>
    </row>
    <row r="134" spans="2:6" x14ac:dyDescent="0.25">
      <c r="B134" s="31"/>
      <c r="C134" s="31"/>
      <c r="D134" s="31"/>
      <c r="E134" s="31"/>
    </row>
    <row r="135" spans="2:6" x14ac:dyDescent="0.25">
      <c r="B135" s="33"/>
      <c r="C135" s="34"/>
      <c r="D135" s="31"/>
      <c r="E135" s="31"/>
    </row>
    <row r="136" spans="2:6" x14ac:dyDescent="0.25">
      <c r="B136" s="35"/>
      <c r="C136" s="35"/>
    </row>
    <row r="137" spans="2:6" x14ac:dyDescent="0.25">
      <c r="B137" s="36"/>
      <c r="C137" s="31"/>
    </row>
    <row r="138" spans="2:6" x14ac:dyDescent="0.25">
      <c r="B138" s="36"/>
      <c r="C138" s="31"/>
    </row>
  </sheetData>
  <mergeCells count="71">
    <mergeCell ref="B132:D132"/>
    <mergeCell ref="C126:D126"/>
    <mergeCell ref="C127:D127"/>
    <mergeCell ref="C128:D128"/>
    <mergeCell ref="C129:D129"/>
    <mergeCell ref="C130:D130"/>
    <mergeCell ref="C131:D131"/>
    <mergeCell ref="C125:D125"/>
    <mergeCell ref="C93:D93"/>
    <mergeCell ref="B94:D94"/>
    <mergeCell ref="B95:E95"/>
    <mergeCell ref="B96:E96"/>
    <mergeCell ref="B102:C102"/>
    <mergeCell ref="B103:E103"/>
    <mergeCell ref="B104:E104"/>
    <mergeCell ref="B112:C112"/>
    <mergeCell ref="C113:E113"/>
    <mergeCell ref="B123:E123"/>
    <mergeCell ref="B124:D124"/>
    <mergeCell ref="C92:D92"/>
    <mergeCell ref="B89:E89"/>
    <mergeCell ref="B90:E90"/>
    <mergeCell ref="B74:C74"/>
    <mergeCell ref="B75:E75"/>
    <mergeCell ref="B76:E76"/>
    <mergeCell ref="B77:C77"/>
    <mergeCell ref="B84:C84"/>
    <mergeCell ref="B91:D91"/>
    <mergeCell ref="B85:E85"/>
    <mergeCell ref="B86:C86"/>
    <mergeCell ref="B88:C88"/>
    <mergeCell ref="B67:E67"/>
    <mergeCell ref="B49:E49"/>
    <mergeCell ref="B50:C50"/>
    <mergeCell ref="B58:D58"/>
    <mergeCell ref="B59:E59"/>
    <mergeCell ref="B60:E60"/>
    <mergeCell ref="B61:D61"/>
    <mergeCell ref="C62:D62"/>
    <mergeCell ref="C63:D63"/>
    <mergeCell ref="C64:D64"/>
    <mergeCell ref="B65:D65"/>
    <mergeCell ref="B66:E66"/>
    <mergeCell ref="B48:C48"/>
    <mergeCell ref="D19:E19"/>
    <mergeCell ref="D20:E20"/>
    <mergeCell ref="D21:E21"/>
    <mergeCell ref="B22:E22"/>
    <mergeCell ref="B23:E23"/>
    <mergeCell ref="B31:D31"/>
    <mergeCell ref="B33:E33"/>
    <mergeCell ref="B34:C34"/>
    <mergeCell ref="B37:C37"/>
    <mergeCell ref="B38:E38"/>
    <mergeCell ref="B39:C39"/>
    <mergeCell ref="B1:E1"/>
    <mergeCell ref="B2:E2"/>
    <mergeCell ref="B3:E3"/>
    <mergeCell ref="B4:E4"/>
    <mergeCell ref="D18:E18"/>
    <mergeCell ref="B5:E5"/>
    <mergeCell ref="B6:E6"/>
    <mergeCell ref="D7:E7"/>
    <mergeCell ref="D8:E8"/>
    <mergeCell ref="D9:E9"/>
    <mergeCell ref="D10:E10"/>
    <mergeCell ref="B12:E12"/>
    <mergeCell ref="D13:E13"/>
    <mergeCell ref="D14:E14"/>
    <mergeCell ref="B16:E16"/>
    <mergeCell ref="D17:E17"/>
  </mergeCells>
  <pageMargins left="0.511811024" right="0.511811024" top="0.78740157499999996" bottom="0.78740157499999996" header="0.31496062000000002" footer="0.31496062000000002"/>
  <pageSetup paperSize="9" scale="73" fitToHeight="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45E08C-F746-4D49-9AE6-770A89FD0B45}">
  <sheetPr>
    <pageSetUpPr fitToPage="1"/>
  </sheetPr>
  <dimension ref="A1:H27"/>
  <sheetViews>
    <sheetView topLeftCell="A20" workbookViewId="0">
      <selection activeCell="H9" sqref="H9"/>
    </sheetView>
  </sheetViews>
  <sheetFormatPr defaultRowHeight="15.75" x14ac:dyDescent="0.25"/>
  <cols>
    <col min="1" max="1" width="11" style="39" customWidth="1"/>
    <col min="2" max="2" width="49.140625" style="40" customWidth="1"/>
    <col min="3" max="6" width="22.42578125" style="39" customWidth="1"/>
    <col min="7" max="7" width="10.5703125" style="39" bestFit="1" customWidth="1"/>
    <col min="8" max="8" width="13.140625" style="39" customWidth="1"/>
    <col min="9" max="16384" width="9.140625" style="39"/>
  </cols>
  <sheetData>
    <row r="1" spans="1:8" x14ac:dyDescent="0.25">
      <c r="A1" s="524"/>
      <c r="B1" s="524"/>
      <c r="C1" s="524"/>
      <c r="D1" s="524"/>
      <c r="E1" s="524"/>
      <c r="F1" s="524"/>
    </row>
    <row r="2" spans="1:8" x14ac:dyDescent="0.25">
      <c r="A2" s="525" t="s">
        <v>126</v>
      </c>
      <c r="B2" s="525"/>
      <c r="C2" s="525"/>
      <c r="D2" s="525"/>
      <c r="E2" s="525"/>
      <c r="F2" s="525"/>
    </row>
    <row r="3" spans="1:8" x14ac:dyDescent="0.25">
      <c r="A3" s="41"/>
      <c r="B3" s="42"/>
      <c r="C3" s="41"/>
      <c r="D3" s="41"/>
      <c r="E3" s="43"/>
      <c r="F3" s="43"/>
    </row>
    <row r="4" spans="1:8" x14ac:dyDescent="0.25">
      <c r="A4" s="526" t="s">
        <v>221</v>
      </c>
      <c r="B4" s="526"/>
      <c r="C4" s="526"/>
      <c r="D4" s="526"/>
      <c r="E4" s="526"/>
      <c r="F4" s="526"/>
      <c r="G4" s="521" t="s">
        <v>212</v>
      </c>
    </row>
    <row r="5" spans="1:8" x14ac:dyDescent="0.25">
      <c r="A5" s="44" t="s">
        <v>127</v>
      </c>
      <c r="B5" s="45" t="s">
        <v>128</v>
      </c>
      <c r="C5" s="44" t="s">
        <v>129</v>
      </c>
      <c r="D5" s="44" t="s">
        <v>130</v>
      </c>
      <c r="E5" s="46" t="s">
        <v>131</v>
      </c>
      <c r="F5" s="46" t="s">
        <v>132</v>
      </c>
      <c r="G5" s="522"/>
    </row>
    <row r="6" spans="1:8" ht="31.5" x14ac:dyDescent="0.25">
      <c r="A6" s="47">
        <v>1</v>
      </c>
      <c r="B6" s="48" t="s">
        <v>133</v>
      </c>
      <c r="C6" s="49">
        <v>12</v>
      </c>
      <c r="D6" s="50">
        <v>6</v>
      </c>
      <c r="E6" s="51">
        <v>40</v>
      </c>
      <c r="F6" s="52">
        <f>D6*E6</f>
        <v>240</v>
      </c>
      <c r="G6" s="101">
        <f>F6/C6</f>
        <v>20</v>
      </c>
    </row>
    <row r="7" spans="1:8" ht="47.25" x14ac:dyDescent="0.25">
      <c r="A7" s="47">
        <v>2</v>
      </c>
      <c r="B7" s="48" t="s">
        <v>134</v>
      </c>
      <c r="C7" s="49">
        <v>12</v>
      </c>
      <c r="D7" s="50">
        <v>6</v>
      </c>
      <c r="E7" s="51">
        <v>30</v>
      </c>
      <c r="F7" s="52">
        <f t="shared" ref="F7:F14" si="0">D7*E7</f>
        <v>180</v>
      </c>
      <c r="G7" s="101">
        <f t="shared" ref="G7:G14" si="1">F7/C7</f>
        <v>15</v>
      </c>
    </row>
    <row r="8" spans="1:8" ht="47.25" x14ac:dyDescent="0.25">
      <c r="A8" s="47">
        <v>3</v>
      </c>
      <c r="B8" s="48" t="s">
        <v>135</v>
      </c>
      <c r="C8" s="49">
        <v>12</v>
      </c>
      <c r="D8" s="50">
        <v>4</v>
      </c>
      <c r="E8" s="51">
        <v>10</v>
      </c>
      <c r="F8" s="52">
        <f t="shared" si="0"/>
        <v>40</v>
      </c>
      <c r="G8" s="101">
        <f t="shared" si="1"/>
        <v>3.3333333333333335</v>
      </c>
    </row>
    <row r="9" spans="1:8" ht="31.5" x14ac:dyDescent="0.25">
      <c r="A9" s="47">
        <v>4</v>
      </c>
      <c r="B9" s="48" t="s">
        <v>136</v>
      </c>
      <c r="C9" s="49">
        <v>12</v>
      </c>
      <c r="D9" s="50">
        <v>2</v>
      </c>
      <c r="E9" s="51">
        <v>50</v>
      </c>
      <c r="F9" s="52">
        <f t="shared" si="0"/>
        <v>100</v>
      </c>
      <c r="G9" s="101">
        <f t="shared" si="1"/>
        <v>8.3333333333333339</v>
      </c>
      <c r="H9" s="220"/>
    </row>
    <row r="10" spans="1:8" ht="31.5" x14ac:dyDescent="0.25">
      <c r="A10" s="47">
        <v>5</v>
      </c>
      <c r="B10" s="48" t="s">
        <v>137</v>
      </c>
      <c r="C10" s="49">
        <v>12</v>
      </c>
      <c r="D10" s="53">
        <v>1</v>
      </c>
      <c r="E10" s="51">
        <v>8</v>
      </c>
      <c r="F10" s="52">
        <f t="shared" si="0"/>
        <v>8</v>
      </c>
      <c r="G10" s="101">
        <f t="shared" si="1"/>
        <v>0.66666666666666663</v>
      </c>
    </row>
    <row r="11" spans="1:8" ht="31.5" x14ac:dyDescent="0.25">
      <c r="A11" s="47">
        <v>6</v>
      </c>
      <c r="B11" s="48" t="s">
        <v>138</v>
      </c>
      <c r="C11" s="49">
        <v>12</v>
      </c>
      <c r="D11" s="53">
        <v>1</v>
      </c>
      <c r="E11" s="51">
        <v>40</v>
      </c>
      <c r="F11" s="52">
        <f t="shared" si="0"/>
        <v>40</v>
      </c>
      <c r="G11" s="101">
        <f t="shared" si="1"/>
        <v>3.3333333333333335</v>
      </c>
    </row>
    <row r="12" spans="1:8" ht="31.5" x14ac:dyDescent="0.25">
      <c r="A12" s="47">
        <v>7</v>
      </c>
      <c r="B12" s="48" t="s">
        <v>139</v>
      </c>
      <c r="C12" s="49">
        <v>12</v>
      </c>
      <c r="D12" s="50">
        <v>1</v>
      </c>
      <c r="E12" s="51">
        <v>10</v>
      </c>
      <c r="F12" s="52">
        <f t="shared" si="0"/>
        <v>10</v>
      </c>
      <c r="G12" s="101">
        <f t="shared" si="1"/>
        <v>0.83333333333333337</v>
      </c>
    </row>
    <row r="13" spans="1:8" ht="78.75" x14ac:dyDescent="0.25">
      <c r="A13" s="47">
        <v>8</v>
      </c>
      <c r="B13" s="48" t="s">
        <v>140</v>
      </c>
      <c r="C13" s="49">
        <v>12</v>
      </c>
      <c r="D13" s="50">
        <v>1</v>
      </c>
      <c r="E13" s="51">
        <v>10</v>
      </c>
      <c r="F13" s="52">
        <f t="shared" si="0"/>
        <v>10</v>
      </c>
      <c r="G13" s="101">
        <f t="shared" si="1"/>
        <v>0.83333333333333337</v>
      </c>
    </row>
    <row r="14" spans="1:8" x14ac:dyDescent="0.25">
      <c r="A14" s="47">
        <v>9</v>
      </c>
      <c r="B14" s="48" t="s">
        <v>141</v>
      </c>
      <c r="C14" s="49">
        <v>12</v>
      </c>
      <c r="D14" s="50">
        <v>1</v>
      </c>
      <c r="E14" s="51">
        <v>2</v>
      </c>
      <c r="F14" s="52">
        <f t="shared" si="0"/>
        <v>2</v>
      </c>
      <c r="G14" s="101">
        <f t="shared" si="1"/>
        <v>0.16666666666666666</v>
      </c>
    </row>
    <row r="15" spans="1:8" x14ac:dyDescent="0.25">
      <c r="A15" s="523" t="s">
        <v>142</v>
      </c>
      <c r="B15" s="523"/>
      <c r="C15" s="523"/>
      <c r="D15" s="523"/>
      <c r="E15" s="523"/>
      <c r="F15" s="54">
        <f>SUM(F6:F14)</f>
        <v>630</v>
      </c>
      <c r="G15" s="102">
        <f>SUM(G6:G14)</f>
        <v>52.500000000000007</v>
      </c>
    </row>
    <row r="16" spans="1:8" x14ac:dyDescent="0.25">
      <c r="A16" s="527"/>
      <c r="B16" s="527"/>
      <c r="C16" s="527"/>
      <c r="D16" s="527"/>
      <c r="E16" s="527"/>
      <c r="F16" s="527"/>
    </row>
    <row r="17" spans="1:7" x14ac:dyDescent="0.25">
      <c r="A17" s="526" t="s">
        <v>143</v>
      </c>
      <c r="B17" s="526"/>
      <c r="C17" s="526"/>
      <c r="D17" s="526"/>
      <c r="E17" s="526"/>
      <c r="F17" s="526"/>
      <c r="G17" s="521" t="s">
        <v>212</v>
      </c>
    </row>
    <row r="18" spans="1:7" x14ac:dyDescent="0.25">
      <c r="A18" s="44" t="s">
        <v>127</v>
      </c>
      <c r="B18" s="45" t="s">
        <v>128</v>
      </c>
      <c r="C18" s="44" t="s">
        <v>129</v>
      </c>
      <c r="D18" s="44" t="s">
        <v>130</v>
      </c>
      <c r="E18" s="46" t="s">
        <v>131</v>
      </c>
      <c r="F18" s="46" t="s">
        <v>132</v>
      </c>
      <c r="G18" s="522"/>
    </row>
    <row r="19" spans="1:7" x14ac:dyDescent="0.25">
      <c r="A19" s="47">
        <v>1</v>
      </c>
      <c r="B19" s="48" t="s">
        <v>144</v>
      </c>
      <c r="C19" s="49">
        <v>12</v>
      </c>
      <c r="D19" s="50">
        <v>1</v>
      </c>
      <c r="E19" s="51">
        <v>120</v>
      </c>
      <c r="F19" s="52">
        <f>E19*D19</f>
        <v>120</v>
      </c>
      <c r="G19" s="101">
        <f>F19/C19</f>
        <v>10</v>
      </c>
    </row>
    <row r="20" spans="1:7" x14ac:dyDescent="0.25">
      <c r="A20" s="47">
        <v>2</v>
      </c>
      <c r="B20" s="48" t="s">
        <v>145</v>
      </c>
      <c r="C20" s="49">
        <v>12</v>
      </c>
      <c r="D20" s="50">
        <v>6</v>
      </c>
      <c r="E20" s="51">
        <v>40</v>
      </c>
      <c r="F20" s="52">
        <f t="shared" ref="F20:F26" si="2">E20*D20</f>
        <v>240</v>
      </c>
      <c r="G20" s="101">
        <f t="shared" ref="G20:G26" si="3">F20/C20</f>
        <v>20</v>
      </c>
    </row>
    <row r="21" spans="1:7" x14ac:dyDescent="0.25">
      <c r="A21" s="47">
        <v>3</v>
      </c>
      <c r="B21" s="48" t="s">
        <v>146</v>
      </c>
      <c r="C21" s="49">
        <v>12</v>
      </c>
      <c r="D21" s="50">
        <v>6</v>
      </c>
      <c r="E21" s="51">
        <v>50</v>
      </c>
      <c r="F21" s="52">
        <f t="shared" si="2"/>
        <v>300</v>
      </c>
      <c r="G21" s="101">
        <f t="shared" si="3"/>
        <v>25</v>
      </c>
    </row>
    <row r="22" spans="1:7" x14ac:dyDescent="0.25">
      <c r="A22" s="47">
        <v>4</v>
      </c>
      <c r="B22" s="48" t="s">
        <v>147</v>
      </c>
      <c r="C22" s="49">
        <v>12</v>
      </c>
      <c r="D22" s="50">
        <v>2</v>
      </c>
      <c r="E22" s="51">
        <v>20</v>
      </c>
      <c r="F22" s="52">
        <f t="shared" si="2"/>
        <v>40</v>
      </c>
      <c r="G22" s="101">
        <f t="shared" si="3"/>
        <v>3.3333333333333335</v>
      </c>
    </row>
    <row r="23" spans="1:7" x14ac:dyDescent="0.25">
      <c r="A23" s="47">
        <v>5</v>
      </c>
      <c r="B23" s="48" t="s">
        <v>148</v>
      </c>
      <c r="C23" s="49">
        <v>12</v>
      </c>
      <c r="D23" s="50">
        <v>2</v>
      </c>
      <c r="E23" s="51">
        <v>25</v>
      </c>
      <c r="F23" s="52">
        <f t="shared" si="2"/>
        <v>50</v>
      </c>
      <c r="G23" s="101">
        <f t="shared" si="3"/>
        <v>4.166666666666667</v>
      </c>
    </row>
    <row r="24" spans="1:7" x14ac:dyDescent="0.25">
      <c r="A24" s="47">
        <v>6</v>
      </c>
      <c r="B24" s="48" t="s">
        <v>149</v>
      </c>
      <c r="C24" s="49">
        <v>12</v>
      </c>
      <c r="D24" s="53">
        <v>2</v>
      </c>
      <c r="E24" s="51">
        <v>80</v>
      </c>
      <c r="F24" s="52">
        <f t="shared" si="2"/>
        <v>160</v>
      </c>
      <c r="G24" s="101">
        <f t="shared" si="3"/>
        <v>13.333333333333334</v>
      </c>
    </row>
    <row r="25" spans="1:7" x14ac:dyDescent="0.25">
      <c r="A25" s="47">
        <v>7</v>
      </c>
      <c r="B25" s="48" t="s">
        <v>150</v>
      </c>
      <c r="C25" s="49">
        <v>12</v>
      </c>
      <c r="D25" s="53">
        <v>4</v>
      </c>
      <c r="E25" s="51">
        <v>10</v>
      </c>
      <c r="F25" s="52">
        <f t="shared" si="2"/>
        <v>40</v>
      </c>
      <c r="G25" s="101">
        <f t="shared" si="3"/>
        <v>3.3333333333333335</v>
      </c>
    </row>
    <row r="26" spans="1:7" x14ac:dyDescent="0.25">
      <c r="A26" s="47">
        <v>8</v>
      </c>
      <c r="B26" s="48" t="s">
        <v>141</v>
      </c>
      <c r="C26" s="49">
        <v>12</v>
      </c>
      <c r="D26" s="50">
        <v>1</v>
      </c>
      <c r="E26" s="51">
        <v>2.5</v>
      </c>
      <c r="F26" s="52">
        <f t="shared" si="2"/>
        <v>2.5</v>
      </c>
      <c r="G26" s="101">
        <f t="shared" si="3"/>
        <v>0.20833333333333334</v>
      </c>
    </row>
    <row r="27" spans="1:7" x14ac:dyDescent="0.25">
      <c r="A27" s="523" t="s">
        <v>142</v>
      </c>
      <c r="B27" s="523"/>
      <c r="C27" s="523"/>
      <c r="D27" s="523"/>
      <c r="E27" s="523"/>
      <c r="F27" s="54">
        <f>SUM(F19:F26)</f>
        <v>952.5</v>
      </c>
      <c r="G27" s="102">
        <f>SUM(G19:G26)</f>
        <v>79.374999999999986</v>
      </c>
    </row>
  </sheetData>
  <mergeCells count="9">
    <mergeCell ref="G4:G5"/>
    <mergeCell ref="G17:G18"/>
    <mergeCell ref="A27:E27"/>
    <mergeCell ref="A1:F1"/>
    <mergeCell ref="A2:F2"/>
    <mergeCell ref="A4:F4"/>
    <mergeCell ref="A15:E15"/>
    <mergeCell ref="A16:F16"/>
    <mergeCell ref="A17:F17"/>
  </mergeCells>
  <pageMargins left="0.511811024" right="0.511811024" top="0.78740157499999996" bottom="0.78740157499999996" header="0.31496062000000002" footer="0.31496062000000002"/>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10</vt:i4>
      </vt:variant>
    </vt:vector>
  </HeadingPairs>
  <TitlesOfParts>
    <vt:vector size="21" baseType="lpstr">
      <vt:lpstr>Proposta</vt:lpstr>
      <vt:lpstr>Memória de Cálculo ES</vt:lpstr>
      <vt:lpstr>Resumo</vt:lpstr>
      <vt:lpstr>Vigilante 5x2</vt:lpstr>
      <vt:lpstr>Supervisor 5x2</vt:lpstr>
      <vt:lpstr>Vigilante 12x36 Diurno</vt:lpstr>
      <vt:lpstr>Supervisor 12x36 Noturno</vt:lpstr>
      <vt:lpstr>Vigilante 12x36 Noturno</vt:lpstr>
      <vt:lpstr>Uniforme</vt:lpstr>
      <vt:lpstr>Equipamentos</vt:lpstr>
      <vt:lpstr>Materiais</vt:lpstr>
      <vt:lpstr>Materiais!Area_de_impressao</vt:lpstr>
      <vt:lpstr>'Memória de Cálculo ES'!Area_de_impressao</vt:lpstr>
      <vt:lpstr>Proposta!Area_de_impressao</vt:lpstr>
      <vt:lpstr>Resumo!Area_de_impressao</vt:lpstr>
      <vt:lpstr>'Supervisor 12x36 Noturno'!Area_de_impressao</vt:lpstr>
      <vt:lpstr>'Supervisor 5x2'!Area_de_impressao</vt:lpstr>
      <vt:lpstr>Uniforme!Area_de_impressao</vt:lpstr>
      <vt:lpstr>'Vigilante 12x36 Diurno'!Area_de_impressao</vt:lpstr>
      <vt:lpstr>'Vigilante 12x36 Noturno'!Area_de_impressao</vt:lpstr>
      <vt:lpstr>'Vigilante 5x2'!Area_de_impressao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Janne Ribeiro Carvalho</dc:creator>
  <cp:lastModifiedBy>Luciene Cruz</cp:lastModifiedBy>
  <cp:lastPrinted>2024-07-03T18:18:08Z</cp:lastPrinted>
  <dcterms:created xsi:type="dcterms:W3CDTF">2024-02-22T13:49:42Z</dcterms:created>
  <dcterms:modified xsi:type="dcterms:W3CDTF">2024-07-03T18:18:13Z</dcterms:modified>
</cp:coreProperties>
</file>